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9.xml" ContentType="application/vnd.openxmlformats-officedocument.drawing+xml"/>
  <Override PartName="/xl/worksheets/sheet1.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4.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9.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SGPP\PP\31-  Bases de datos\A-Presupuestos\Cuadros para internet\20-2010-2018 Prorrogado\"/>
    </mc:Choice>
  </mc:AlternateContent>
  <bookViews>
    <workbookView xWindow="120" yWindow="120" windowWidth="15135" windowHeight="7995"/>
  </bookViews>
  <sheets>
    <sheet name="Estadística" sheetId="15" r:id="rId1"/>
    <sheet name="11" sheetId="1" r:id="rId2"/>
    <sheet name="12.1" sheetId="3" r:id="rId3"/>
    <sheet name="12.2" sheetId="4" r:id="rId4"/>
    <sheet name="12.3" sheetId="5" r:id="rId5"/>
    <sheet name="13" sheetId="6" r:id="rId6"/>
    <sheet name="141" sheetId="8" r:id="rId7"/>
    <sheet name="15" sheetId="14" r:id="rId8"/>
    <sheet name="16" sheetId="16" r:id="rId9"/>
  </sheets>
  <definedNames>
    <definedName name="_xlnm.Print_Area" localSheetId="1">'11'!$A$1:$Z$27</definedName>
    <definedName name="_xlnm.Print_Area" localSheetId="2">'12.1'!$A$1:$Z$20</definedName>
    <definedName name="_xlnm.Print_Area" localSheetId="3">'12.2'!$A$1:$Z$20</definedName>
    <definedName name="_xlnm.Print_Area" localSheetId="4">'12.3'!$A$1:$Z$19</definedName>
    <definedName name="_xlnm.Print_Area" localSheetId="5">'13'!$A$1:$Z$16</definedName>
    <definedName name="_xlnm.Print_Area" localSheetId="6">'141'!$A$1:$U$39</definedName>
    <definedName name="_xlnm.Print_Area" localSheetId="7">'15'!$A$1:$Z$22</definedName>
    <definedName name="_xlnm.Print_Area" localSheetId="8">'16'!$A$1:$R$285</definedName>
    <definedName name="_xlnm.Print_Area" localSheetId="0">Estadística!$A$1:$U$33</definedName>
    <definedName name="_xlnm.Print_Titles" localSheetId="8">'16'!$1:$6</definedName>
  </definedNames>
  <calcPr calcId="152511"/>
</workbook>
</file>

<file path=xl/calcChain.xml><?xml version="1.0" encoding="utf-8"?>
<calcChain xmlns="http://schemas.openxmlformats.org/spreadsheetml/2006/main">
  <c r="Z18" i="14" l="1"/>
  <c r="Z16" i="14"/>
  <c r="Z15" i="14"/>
  <c r="Z12" i="14"/>
  <c r="S104" i="16" l="1"/>
  <c r="U27" i="8"/>
  <c r="U26" i="8" s="1"/>
  <c r="L302" i="16" l="1"/>
  <c r="L306" i="16" s="1"/>
  <c r="L307" i="16" s="1"/>
  <c r="L234" i="16" l="1"/>
  <c r="L189" i="16"/>
  <c r="L303" i="16"/>
  <c r="S297" i="16"/>
  <c r="S294" i="16"/>
  <c r="R297" i="16"/>
  <c r="Q297" i="16"/>
  <c r="P297" i="16"/>
  <c r="O297" i="16"/>
  <c r="N297" i="16"/>
  <c r="M297" i="16"/>
  <c r="L297" i="16"/>
  <c r="K297" i="16"/>
  <c r="J297" i="16"/>
  <c r="I297" i="16"/>
  <c r="H297" i="16"/>
  <c r="G297" i="16"/>
  <c r="F297" i="16"/>
  <c r="E297" i="16"/>
  <c r="D297" i="16"/>
  <c r="C297" i="16"/>
  <c r="B297" i="16"/>
  <c r="R294" i="16"/>
  <c r="P294" i="16"/>
  <c r="O294" i="16"/>
  <c r="N294" i="16"/>
  <c r="M294" i="16"/>
  <c r="L294" i="16"/>
  <c r="K294" i="16"/>
  <c r="J294" i="16"/>
  <c r="I294" i="16"/>
  <c r="H294" i="16"/>
  <c r="G294" i="16"/>
  <c r="F294" i="16"/>
  <c r="E294" i="16"/>
  <c r="D294" i="16"/>
  <c r="C294" i="16"/>
  <c r="B294" i="16"/>
  <c r="Q289" i="16"/>
  <c r="Q288" i="16"/>
  <c r="Q294" i="16" s="1"/>
  <c r="B15" i="16" l="1"/>
  <c r="C15" i="16"/>
  <c r="D15" i="16"/>
  <c r="E15" i="16"/>
  <c r="F15" i="16"/>
  <c r="G15" i="16"/>
  <c r="H15" i="16"/>
  <c r="I15" i="16"/>
  <c r="J15" i="16"/>
  <c r="K15" i="16"/>
  <c r="L15" i="16"/>
  <c r="M15" i="16"/>
  <c r="N15" i="16"/>
  <c r="O15" i="16"/>
  <c r="P15" i="16"/>
  <c r="Q15" i="16"/>
  <c r="R15" i="16"/>
  <c r="S15" i="16"/>
  <c r="B23" i="16"/>
  <c r="C23" i="16"/>
  <c r="D23" i="16"/>
  <c r="E23" i="16"/>
  <c r="F23" i="16"/>
  <c r="G23" i="16"/>
  <c r="H23" i="16"/>
  <c r="I23" i="16"/>
  <c r="J23" i="16"/>
  <c r="K23" i="16"/>
  <c r="L23" i="16"/>
  <c r="M23" i="16"/>
  <c r="N23" i="16"/>
  <c r="O23" i="16"/>
  <c r="P23" i="16"/>
  <c r="Q23" i="16"/>
  <c r="R23" i="16"/>
  <c r="S23" i="16"/>
  <c r="B35" i="16"/>
  <c r="C35" i="16"/>
  <c r="D35" i="16"/>
  <c r="E35" i="16"/>
  <c r="F35" i="16"/>
  <c r="G35" i="16"/>
  <c r="H35" i="16"/>
  <c r="I35" i="16"/>
  <c r="J35" i="16"/>
  <c r="K35" i="16"/>
  <c r="L35" i="16"/>
  <c r="M35" i="16"/>
  <c r="N35" i="16"/>
  <c r="O35" i="16"/>
  <c r="P35" i="16"/>
  <c r="Q35" i="16"/>
  <c r="R35" i="16"/>
  <c r="S35" i="16"/>
  <c r="B42" i="16"/>
  <c r="C42" i="16"/>
  <c r="D42" i="16"/>
  <c r="E42" i="16"/>
  <c r="F42" i="16"/>
  <c r="G42" i="16"/>
  <c r="H42" i="16"/>
  <c r="I42" i="16"/>
  <c r="J42" i="16"/>
  <c r="K42" i="16"/>
  <c r="L42" i="16"/>
  <c r="M42" i="16"/>
  <c r="N42" i="16"/>
  <c r="O42" i="16"/>
  <c r="P42" i="16"/>
  <c r="Q42" i="16"/>
  <c r="R42" i="16"/>
  <c r="S42" i="16"/>
  <c r="B51" i="16"/>
  <c r="C51" i="16"/>
  <c r="D51" i="16"/>
  <c r="E51" i="16"/>
  <c r="F51" i="16"/>
  <c r="G51" i="16"/>
  <c r="H51" i="16"/>
  <c r="I51" i="16"/>
  <c r="J51" i="16"/>
  <c r="K51" i="16"/>
  <c r="L51" i="16"/>
  <c r="M51" i="16"/>
  <c r="N51" i="16"/>
  <c r="O51" i="16"/>
  <c r="P51" i="16"/>
  <c r="Q51" i="16"/>
  <c r="R51" i="16"/>
  <c r="S51" i="16"/>
  <c r="B56" i="16"/>
  <c r="C56" i="16"/>
  <c r="D56" i="16"/>
  <c r="E56" i="16"/>
  <c r="F56" i="16"/>
  <c r="G56" i="16"/>
  <c r="H56" i="16"/>
  <c r="I56" i="16"/>
  <c r="J56" i="16"/>
  <c r="K56" i="16"/>
  <c r="L56" i="16"/>
  <c r="M56" i="16"/>
  <c r="N56" i="16"/>
  <c r="O56" i="16"/>
  <c r="P56" i="16"/>
  <c r="Q56" i="16"/>
  <c r="R56" i="16"/>
  <c r="S56" i="16"/>
  <c r="H64" i="16"/>
  <c r="H74" i="16" s="1"/>
  <c r="B74" i="16"/>
  <c r="C74" i="16"/>
  <c r="D74" i="16"/>
  <c r="E74" i="16"/>
  <c r="F74" i="16"/>
  <c r="G74" i="16"/>
  <c r="I74" i="16"/>
  <c r="J74" i="16"/>
  <c r="K74" i="16"/>
  <c r="L74" i="16"/>
  <c r="M74" i="16"/>
  <c r="N74" i="16"/>
  <c r="O74" i="16"/>
  <c r="P74" i="16"/>
  <c r="Q74" i="16"/>
  <c r="R74" i="16"/>
  <c r="S74" i="16"/>
  <c r="B78" i="16"/>
  <c r="C78" i="16"/>
  <c r="D78" i="16"/>
  <c r="E78" i="16"/>
  <c r="F78" i="16"/>
  <c r="G78" i="16"/>
  <c r="H78" i="16"/>
  <c r="I78" i="16"/>
  <c r="J78" i="16"/>
  <c r="K78" i="16"/>
  <c r="L78" i="16"/>
  <c r="M78" i="16"/>
  <c r="N78" i="16"/>
  <c r="O78" i="16"/>
  <c r="P78" i="16"/>
  <c r="Q78" i="16"/>
  <c r="R78" i="16"/>
  <c r="S78" i="16"/>
  <c r="B80" i="16"/>
  <c r="C80" i="16"/>
  <c r="D80" i="16"/>
  <c r="E80" i="16"/>
  <c r="F80" i="16"/>
  <c r="G80" i="16"/>
  <c r="H80" i="16"/>
  <c r="I80" i="16"/>
  <c r="J80" i="16"/>
  <c r="K80" i="16"/>
  <c r="L80" i="16"/>
  <c r="M80" i="16"/>
  <c r="N80" i="16"/>
  <c r="O80" i="16"/>
  <c r="P80" i="16"/>
  <c r="Q80" i="16"/>
  <c r="R80" i="16"/>
  <c r="S80" i="16"/>
  <c r="B85" i="16"/>
  <c r="C85" i="16"/>
  <c r="D85" i="16"/>
  <c r="E85" i="16"/>
  <c r="F85" i="16"/>
  <c r="G85" i="16"/>
  <c r="H85" i="16"/>
  <c r="I85" i="16"/>
  <c r="J85" i="16"/>
  <c r="K85" i="16"/>
  <c r="L85" i="16"/>
  <c r="M85" i="16"/>
  <c r="N85" i="16"/>
  <c r="O85" i="16"/>
  <c r="P85" i="16"/>
  <c r="Q85" i="16"/>
  <c r="R85" i="16"/>
  <c r="S85" i="16"/>
  <c r="B88" i="16"/>
  <c r="C88" i="16"/>
  <c r="D88" i="16"/>
  <c r="E88" i="16"/>
  <c r="F88" i="16"/>
  <c r="G88" i="16"/>
  <c r="H88" i="16"/>
  <c r="I88" i="16"/>
  <c r="J88" i="16"/>
  <c r="K88" i="16"/>
  <c r="L88" i="16"/>
  <c r="M88" i="16"/>
  <c r="N88" i="16"/>
  <c r="O88" i="16"/>
  <c r="P88" i="16"/>
  <c r="Q88" i="16"/>
  <c r="R88" i="16"/>
  <c r="S88" i="16"/>
  <c r="B104" i="16"/>
  <c r="C104" i="16"/>
  <c r="D104" i="16"/>
  <c r="E104" i="16"/>
  <c r="F104" i="16"/>
  <c r="G104" i="16"/>
  <c r="H104" i="16"/>
  <c r="I104" i="16"/>
  <c r="J104" i="16"/>
  <c r="K104" i="16"/>
  <c r="L104" i="16"/>
  <c r="M104" i="16"/>
  <c r="N104" i="16"/>
  <c r="O104" i="16"/>
  <c r="P104" i="16"/>
  <c r="Q104" i="16"/>
  <c r="R104" i="16"/>
  <c r="B122" i="16"/>
  <c r="C122" i="16"/>
  <c r="D122" i="16"/>
  <c r="E122" i="16"/>
  <c r="F122" i="16"/>
  <c r="G122" i="16"/>
  <c r="H122" i="16"/>
  <c r="I122" i="16"/>
  <c r="J122" i="16"/>
  <c r="K122" i="16"/>
  <c r="L122" i="16"/>
  <c r="M122" i="16"/>
  <c r="N122" i="16"/>
  <c r="O122" i="16"/>
  <c r="P122" i="16"/>
  <c r="Q122" i="16"/>
  <c r="R122" i="16"/>
  <c r="S122" i="16"/>
  <c r="B139" i="16"/>
  <c r="C139" i="16"/>
  <c r="D139" i="16"/>
  <c r="E139" i="16"/>
  <c r="F139" i="16"/>
  <c r="G139" i="16"/>
  <c r="H139" i="16"/>
  <c r="I139" i="16"/>
  <c r="J139" i="16"/>
  <c r="K139" i="16"/>
  <c r="L139" i="16"/>
  <c r="M139" i="16"/>
  <c r="N139" i="16"/>
  <c r="O139" i="16"/>
  <c r="P139" i="16"/>
  <c r="Q139" i="16"/>
  <c r="R139" i="16"/>
  <c r="S139" i="16"/>
  <c r="B154" i="16"/>
  <c r="C154" i="16"/>
  <c r="D154" i="16"/>
  <c r="E154" i="16"/>
  <c r="F154" i="16"/>
  <c r="G154" i="16"/>
  <c r="H154" i="16"/>
  <c r="I154" i="16"/>
  <c r="J154" i="16"/>
  <c r="K154" i="16"/>
  <c r="L154" i="16"/>
  <c r="M154" i="16"/>
  <c r="N154" i="16"/>
  <c r="O154" i="16"/>
  <c r="P154" i="16"/>
  <c r="Q154" i="16"/>
  <c r="R154" i="16"/>
  <c r="S154" i="16"/>
  <c r="B165" i="16"/>
  <c r="C165" i="16"/>
  <c r="D165" i="16"/>
  <c r="E165" i="16"/>
  <c r="F165" i="16"/>
  <c r="G165" i="16"/>
  <c r="H165" i="16"/>
  <c r="I165" i="16"/>
  <c r="J165" i="16"/>
  <c r="K165" i="16"/>
  <c r="L165" i="16"/>
  <c r="M165" i="16"/>
  <c r="N165" i="16"/>
  <c r="O165" i="16"/>
  <c r="P165" i="16"/>
  <c r="Q165" i="16"/>
  <c r="R165" i="16"/>
  <c r="S165" i="16"/>
  <c r="B172" i="16"/>
  <c r="C172" i="16"/>
  <c r="D172" i="16"/>
  <c r="E172" i="16"/>
  <c r="F172" i="16"/>
  <c r="G172" i="16"/>
  <c r="H172" i="16"/>
  <c r="I172" i="16"/>
  <c r="J172" i="16"/>
  <c r="K172" i="16"/>
  <c r="L172" i="16"/>
  <c r="M172" i="16"/>
  <c r="N172" i="16"/>
  <c r="O172" i="16"/>
  <c r="P172" i="16"/>
  <c r="Q172" i="16"/>
  <c r="R172" i="16"/>
  <c r="S172" i="16"/>
  <c r="H173" i="16"/>
  <c r="H177" i="16" s="1"/>
  <c r="J173" i="16"/>
  <c r="J177" i="16" s="1"/>
  <c r="K173" i="16"/>
  <c r="K177" i="16" s="1"/>
  <c r="B177" i="16"/>
  <c r="C177" i="16"/>
  <c r="D177" i="16"/>
  <c r="E177" i="16"/>
  <c r="F177" i="16"/>
  <c r="G177" i="16"/>
  <c r="I177" i="16"/>
  <c r="L177" i="16"/>
  <c r="M177" i="16"/>
  <c r="N177" i="16"/>
  <c r="O177" i="16"/>
  <c r="P177" i="16"/>
  <c r="Q177" i="16"/>
  <c r="R177" i="16"/>
  <c r="S177" i="16"/>
  <c r="B179" i="16"/>
  <c r="B199" i="16" s="1"/>
  <c r="C179" i="16"/>
  <c r="L199" i="16"/>
  <c r="C199" i="16"/>
  <c r="D199" i="16"/>
  <c r="E199" i="16"/>
  <c r="F199" i="16"/>
  <c r="G199" i="16"/>
  <c r="H199" i="16"/>
  <c r="I199" i="16"/>
  <c r="J199" i="16"/>
  <c r="K199" i="16"/>
  <c r="M199" i="16"/>
  <c r="N199" i="16"/>
  <c r="O199" i="16"/>
  <c r="P199" i="16"/>
  <c r="Q199" i="16"/>
  <c r="R199" i="16"/>
  <c r="S199" i="16"/>
  <c r="B219" i="16"/>
  <c r="C219" i="16"/>
  <c r="D219" i="16"/>
  <c r="E219" i="16"/>
  <c r="F219" i="16"/>
  <c r="G219" i="16"/>
  <c r="H219" i="16"/>
  <c r="I219" i="16"/>
  <c r="J219" i="16"/>
  <c r="K219" i="16"/>
  <c r="L219" i="16"/>
  <c r="M219" i="16"/>
  <c r="N219" i="16"/>
  <c r="O219" i="16"/>
  <c r="P219" i="16"/>
  <c r="Q219" i="16"/>
  <c r="R219" i="16"/>
  <c r="S219" i="16"/>
  <c r="B234" i="16"/>
  <c r="C234" i="16"/>
  <c r="D234" i="16"/>
  <c r="E234" i="16"/>
  <c r="F234" i="16"/>
  <c r="G234" i="16"/>
  <c r="H234" i="16"/>
  <c r="I234" i="16"/>
  <c r="J234" i="16"/>
  <c r="K234" i="16"/>
  <c r="M234" i="16"/>
  <c r="N234" i="16"/>
  <c r="O234" i="16"/>
  <c r="P234" i="16"/>
  <c r="Q234" i="16"/>
  <c r="R234" i="16"/>
  <c r="S234" i="16"/>
  <c r="B246" i="16"/>
  <c r="C246" i="16"/>
  <c r="D246" i="16"/>
  <c r="E246" i="16"/>
  <c r="F246" i="16"/>
  <c r="G246" i="16"/>
  <c r="H246" i="16"/>
  <c r="I246" i="16"/>
  <c r="J246" i="16"/>
  <c r="K246" i="16"/>
  <c r="L246" i="16"/>
  <c r="M246" i="16"/>
  <c r="N246" i="16"/>
  <c r="O246" i="16"/>
  <c r="P246" i="16"/>
  <c r="Q246" i="16"/>
  <c r="R246" i="16"/>
  <c r="S246" i="16"/>
  <c r="B276" i="16"/>
  <c r="C276" i="16"/>
  <c r="D276" i="16"/>
  <c r="E276" i="16"/>
  <c r="F276" i="16"/>
  <c r="G276" i="16"/>
  <c r="H276" i="16"/>
  <c r="I276" i="16"/>
  <c r="J276" i="16"/>
  <c r="K276" i="16"/>
  <c r="L276" i="16"/>
  <c r="M276" i="16"/>
  <c r="N276" i="16"/>
  <c r="O276" i="16"/>
  <c r="P276" i="16"/>
  <c r="Q276" i="16"/>
  <c r="R276" i="16"/>
  <c r="S276" i="16"/>
  <c r="B285" i="16"/>
  <c r="C285" i="16"/>
  <c r="D285" i="16"/>
  <c r="E285" i="16"/>
  <c r="F285" i="16"/>
  <c r="G285" i="16"/>
  <c r="H285" i="16"/>
  <c r="I285" i="16"/>
  <c r="J285" i="16"/>
  <c r="K285" i="16"/>
  <c r="L285" i="16"/>
  <c r="M285" i="16"/>
  <c r="N285" i="16"/>
  <c r="O285" i="16"/>
  <c r="P285" i="16"/>
  <c r="Q285" i="16"/>
  <c r="R285" i="16"/>
  <c r="S285" i="16"/>
  <c r="Q298" i="16" l="1"/>
  <c r="S298" i="16"/>
  <c r="R298" i="16"/>
  <c r="N298" i="16"/>
  <c r="H298" i="16"/>
  <c r="M298" i="16"/>
  <c r="C298" i="16"/>
  <c r="J298" i="16"/>
  <c r="F298" i="16"/>
  <c r="P298" i="16"/>
  <c r="E298" i="16"/>
  <c r="K298" i="16"/>
  <c r="D298" i="16"/>
  <c r="I298" i="16"/>
  <c r="G298" i="16"/>
  <c r="O298" i="16"/>
  <c r="L298" i="16"/>
  <c r="B298" i="16"/>
  <c r="U34" i="8"/>
  <c r="Z12" i="3"/>
  <c r="Z11" i="3"/>
  <c r="Z10" i="3"/>
  <c r="Z9" i="3"/>
  <c r="Z7" i="3"/>
  <c r="Z11" i="6"/>
  <c r="Z13" i="4"/>
  <c r="Z8" i="3"/>
  <c r="Z13" i="5" l="1"/>
  <c r="Z13" i="3" s="1"/>
  <c r="Z19" i="1"/>
  <c r="Z15" i="1"/>
  <c r="Z11" i="1"/>
  <c r="Z16" i="1" l="1"/>
  <c r="Z20" i="1" s="1"/>
  <c r="T26" i="8"/>
  <c r="Y15" i="14" l="1"/>
  <c r="Y12" i="14"/>
  <c r="T34" i="8"/>
  <c r="Y11" i="6"/>
  <c r="Y12" i="3"/>
  <c r="Y11" i="3"/>
  <c r="Y10" i="3"/>
  <c r="Y9" i="3"/>
  <c r="Y8" i="3"/>
  <c r="Y7" i="3"/>
  <c r="Y13" i="5"/>
  <c r="Y11" i="1"/>
  <c r="Y19" i="1"/>
  <c r="Y15" i="1"/>
  <c r="Y16" i="14" l="1"/>
  <c r="Y18" i="14" s="1"/>
  <c r="Y13" i="4"/>
  <c r="Y13" i="3" s="1"/>
  <c r="Y16" i="1"/>
  <c r="Y20" i="1" s="1"/>
  <c r="X15" i="14" l="1"/>
  <c r="X12" i="14"/>
  <c r="S26" i="8"/>
  <c r="S34" i="8" s="1"/>
  <c r="X16" i="14" l="1"/>
  <c r="X18" i="14" s="1"/>
  <c r="X10" i="6"/>
  <c r="X8" i="6"/>
  <c r="X9" i="6"/>
  <c r="X7" i="6"/>
  <c r="X11" i="6" l="1"/>
  <c r="X8" i="3"/>
  <c r="X9" i="3"/>
  <c r="X10" i="3"/>
  <c r="X11" i="3"/>
  <c r="X12" i="3"/>
  <c r="X7" i="3"/>
  <c r="X13" i="5"/>
  <c r="X13" i="4"/>
  <c r="X13" i="3" l="1"/>
  <c r="X19" i="1"/>
  <c r="X15" i="1"/>
  <c r="X11" i="1"/>
  <c r="X16" i="1" l="1"/>
  <c r="X20" i="1" s="1"/>
  <c r="W12" i="14"/>
  <c r="W15" i="14"/>
  <c r="R26" i="8"/>
  <c r="R34" i="8" s="1"/>
  <c r="W16" i="14"/>
  <c r="W18" i="14" s="1"/>
  <c r="W11" i="6"/>
  <c r="W13" i="4"/>
  <c r="W13" i="5"/>
  <c r="W12" i="3"/>
  <c r="W11" i="3"/>
  <c r="W10" i="3"/>
  <c r="W9" i="3"/>
  <c r="W8" i="3"/>
  <c r="W7" i="3"/>
  <c r="W15" i="1"/>
  <c r="W19" i="1"/>
  <c r="W11" i="1"/>
  <c r="Q26" i="8"/>
  <c r="Q34" i="8" s="1"/>
  <c r="V12" i="3"/>
  <c r="V11" i="3"/>
  <c r="V10" i="3"/>
  <c r="V9" i="3"/>
  <c r="V8" i="3"/>
  <c r="V7" i="3"/>
  <c r="V13" i="5"/>
  <c r="V11" i="6"/>
  <c r="V13" i="4"/>
  <c r="V19" i="1"/>
  <c r="V15" i="1"/>
  <c r="V11" i="1"/>
  <c r="V15" i="14"/>
  <c r="V12" i="14"/>
  <c r="S11" i="3"/>
  <c r="P26" i="8"/>
  <c r="P34" i="8" s="1"/>
  <c r="U12" i="14"/>
  <c r="U15" i="14"/>
  <c r="U16" i="14" s="1"/>
  <c r="U18" i="14" s="1"/>
  <c r="U11" i="6"/>
  <c r="U13" i="5"/>
  <c r="U13" i="4"/>
  <c r="U13" i="3"/>
  <c r="U15" i="1"/>
  <c r="U19" i="1"/>
  <c r="B34" i="8"/>
  <c r="C34" i="8"/>
  <c r="H34" i="8"/>
  <c r="I34" i="8"/>
  <c r="J34" i="8"/>
  <c r="K34" i="8"/>
  <c r="L34" i="8"/>
  <c r="M34" i="8"/>
  <c r="O26" i="8"/>
  <c r="O34" i="8" s="1"/>
  <c r="T11" i="1"/>
  <c r="T11" i="6"/>
  <c r="T13" i="5"/>
  <c r="T13" i="4"/>
  <c r="T12" i="14"/>
  <c r="T15" i="14"/>
  <c r="T15" i="1"/>
  <c r="T16" i="1" s="1"/>
  <c r="T19" i="1"/>
  <c r="S15" i="14"/>
  <c r="S12" i="14"/>
  <c r="N26" i="8"/>
  <c r="N34" i="8" s="1"/>
  <c r="S11" i="6"/>
  <c r="S13" i="5"/>
  <c r="S13" i="4"/>
  <c r="S7" i="3"/>
  <c r="S8" i="3"/>
  <c r="S9" i="3"/>
  <c r="S10" i="3"/>
  <c r="S12" i="3"/>
  <c r="S11" i="1"/>
  <c r="S15" i="1"/>
  <c r="S19" i="1"/>
  <c r="R12" i="14"/>
  <c r="R15" i="14"/>
  <c r="R11" i="6"/>
  <c r="R13" i="5"/>
  <c r="R7" i="3"/>
  <c r="R8" i="3"/>
  <c r="R9" i="3"/>
  <c r="R10" i="3"/>
  <c r="R11" i="3"/>
  <c r="R12" i="3"/>
  <c r="R13" i="4"/>
  <c r="R11" i="1"/>
  <c r="R15" i="1"/>
  <c r="R19" i="1"/>
  <c r="G7" i="8"/>
  <c r="G8" i="8"/>
  <c r="G9" i="8"/>
  <c r="G10" i="8"/>
  <c r="G11" i="8"/>
  <c r="G12" i="8"/>
  <c r="G13" i="8"/>
  <c r="G14" i="8"/>
  <c r="G15" i="8"/>
  <c r="G16" i="8"/>
  <c r="G17" i="8"/>
  <c r="G18" i="8"/>
  <c r="G19" i="8"/>
  <c r="G20" i="8"/>
  <c r="G21" i="8"/>
  <c r="G22" i="8"/>
  <c r="G23" i="8"/>
  <c r="G24" i="8"/>
  <c r="G25" i="8"/>
  <c r="G28" i="8"/>
  <c r="G29" i="8"/>
  <c r="G30" i="8"/>
  <c r="G31" i="8"/>
  <c r="G32" i="8"/>
  <c r="G33" i="8"/>
  <c r="F7" i="8"/>
  <c r="F8" i="8"/>
  <c r="F9" i="8"/>
  <c r="F10" i="8"/>
  <c r="F11" i="8"/>
  <c r="F12" i="8"/>
  <c r="F13" i="8"/>
  <c r="F14" i="8"/>
  <c r="F15" i="8"/>
  <c r="F16" i="8"/>
  <c r="F17" i="8"/>
  <c r="F18" i="8"/>
  <c r="F19" i="8"/>
  <c r="F20" i="8"/>
  <c r="F21" i="8"/>
  <c r="F22" i="8"/>
  <c r="F23" i="8"/>
  <c r="F24" i="8"/>
  <c r="F25" i="8"/>
  <c r="F28" i="8"/>
  <c r="F29" i="8"/>
  <c r="F30" i="8"/>
  <c r="F31" i="8"/>
  <c r="F32" i="8"/>
  <c r="F33" i="8"/>
  <c r="E7" i="8"/>
  <c r="E8" i="8"/>
  <c r="E9" i="8"/>
  <c r="E10" i="8"/>
  <c r="E11" i="8"/>
  <c r="E12" i="8"/>
  <c r="E13" i="8"/>
  <c r="E14" i="8"/>
  <c r="E15" i="8"/>
  <c r="E16" i="8"/>
  <c r="E17" i="8"/>
  <c r="E18" i="8"/>
  <c r="E19" i="8"/>
  <c r="E20" i="8"/>
  <c r="E21" i="8"/>
  <c r="E22" i="8"/>
  <c r="E23" i="8"/>
  <c r="E24" i="8"/>
  <c r="E25" i="8"/>
  <c r="E28" i="8"/>
  <c r="E29" i="8"/>
  <c r="E30" i="8"/>
  <c r="E31" i="8"/>
  <c r="E32" i="8"/>
  <c r="E33" i="8"/>
  <c r="D7" i="8"/>
  <c r="D8" i="8"/>
  <c r="D9" i="8"/>
  <c r="D10" i="8"/>
  <c r="D11" i="8"/>
  <c r="D12" i="8"/>
  <c r="D13" i="8"/>
  <c r="D14" i="8"/>
  <c r="D15" i="8"/>
  <c r="D16" i="8"/>
  <c r="D17" i="8"/>
  <c r="D18" i="8"/>
  <c r="D19" i="8"/>
  <c r="D20" i="8"/>
  <c r="D21" i="8"/>
  <c r="D22" i="8"/>
  <c r="D23" i="8"/>
  <c r="D24" i="8"/>
  <c r="D25" i="8"/>
  <c r="D28" i="8"/>
  <c r="D29" i="8"/>
  <c r="D30" i="8"/>
  <c r="D31" i="8"/>
  <c r="D32" i="8"/>
  <c r="D33" i="8"/>
  <c r="Q8" i="3"/>
  <c r="Q9" i="3"/>
  <c r="Q10" i="3"/>
  <c r="Q11" i="3"/>
  <c r="Q12" i="3"/>
  <c r="Q7" i="3"/>
  <c r="Q12" i="14"/>
  <c r="Q15" i="14"/>
  <c r="Q13" i="5"/>
  <c r="Q13" i="4"/>
  <c r="Q11" i="1"/>
  <c r="Q15" i="1"/>
  <c r="Q19" i="1"/>
  <c r="O11" i="1"/>
  <c r="O15" i="1"/>
  <c r="P15" i="14"/>
  <c r="P12" i="14"/>
  <c r="P13" i="5"/>
  <c r="P13" i="4"/>
  <c r="P7" i="3"/>
  <c r="P8" i="3"/>
  <c r="P9" i="3"/>
  <c r="P10" i="3"/>
  <c r="P11" i="3"/>
  <c r="P12" i="3"/>
  <c r="O19" i="1"/>
  <c r="D24" i="5"/>
  <c r="D7" i="5" s="1"/>
  <c r="D7" i="4"/>
  <c r="E7" i="5"/>
  <c r="E7" i="4"/>
  <c r="F7" i="5"/>
  <c r="F7" i="4"/>
  <c r="F7" i="3" s="1"/>
  <c r="G7" i="5"/>
  <c r="G7" i="4"/>
  <c r="H7" i="4"/>
  <c r="H7" i="3"/>
  <c r="I7" i="5"/>
  <c r="I13" i="5" s="1"/>
  <c r="I7" i="4"/>
  <c r="J7" i="5"/>
  <c r="J13" i="5" s="1"/>
  <c r="J7" i="4"/>
  <c r="K7" i="5"/>
  <c r="K13" i="5" s="1"/>
  <c r="K7" i="4"/>
  <c r="K7" i="3" s="1"/>
  <c r="L7" i="5"/>
  <c r="L7" i="4"/>
  <c r="L13" i="4" s="1"/>
  <c r="M7" i="4"/>
  <c r="M13" i="4" s="1"/>
  <c r="M7" i="3"/>
  <c r="N7" i="4"/>
  <c r="N7" i="3" s="1"/>
  <c r="O8" i="3"/>
  <c r="O9" i="3"/>
  <c r="O7" i="3"/>
  <c r="C7" i="4"/>
  <c r="O15" i="14"/>
  <c r="O12" i="14"/>
  <c r="O10" i="3"/>
  <c r="O11" i="3"/>
  <c r="O12" i="3"/>
  <c r="O13" i="5"/>
  <c r="O13" i="4"/>
  <c r="P11" i="1"/>
  <c r="P15" i="1"/>
  <c r="P19" i="1"/>
  <c r="B45" i="8"/>
  <c r="C45" i="8"/>
  <c r="D45" i="8"/>
  <c r="E45" i="8"/>
  <c r="F45" i="8"/>
  <c r="G45" i="8"/>
  <c r="H46" i="8"/>
  <c r="N8" i="3"/>
  <c r="N9" i="3"/>
  <c r="N11" i="3"/>
  <c r="N12" i="3"/>
  <c r="N10" i="3"/>
  <c r="N13" i="5"/>
  <c r="N12" i="14"/>
  <c r="N15" i="14"/>
  <c r="N16" i="14" s="1"/>
  <c r="N18" i="14" s="1"/>
  <c r="N11" i="1"/>
  <c r="N15" i="1"/>
  <c r="N19" i="1"/>
  <c r="M11" i="1"/>
  <c r="M15" i="1"/>
  <c r="M19" i="1"/>
  <c r="B11" i="1"/>
  <c r="D11" i="1"/>
  <c r="D15" i="1"/>
  <c r="E11" i="1"/>
  <c r="E15" i="1"/>
  <c r="F11" i="1"/>
  <c r="F15" i="1"/>
  <c r="G11" i="1"/>
  <c r="G15" i="1"/>
  <c r="H11" i="1"/>
  <c r="H15" i="1"/>
  <c r="I11" i="1"/>
  <c r="I15" i="1"/>
  <c r="J11" i="1"/>
  <c r="J15" i="1"/>
  <c r="K11" i="1"/>
  <c r="K15" i="1"/>
  <c r="L11" i="1"/>
  <c r="L15" i="1"/>
  <c r="C11" i="1"/>
  <c r="C15" i="1"/>
  <c r="L19" i="1"/>
  <c r="C19" i="1"/>
  <c r="D19" i="1"/>
  <c r="E19" i="1"/>
  <c r="F19" i="1"/>
  <c r="G19" i="1"/>
  <c r="H19" i="1"/>
  <c r="I19" i="1"/>
  <c r="J19" i="1"/>
  <c r="K19" i="1"/>
  <c r="B15" i="1"/>
  <c r="B19" i="1"/>
  <c r="M12" i="3"/>
  <c r="M11" i="3"/>
  <c r="M10" i="3"/>
  <c r="M9" i="3"/>
  <c r="M8" i="3"/>
  <c r="L8" i="3"/>
  <c r="L9" i="3"/>
  <c r="L10" i="3"/>
  <c r="L11" i="3"/>
  <c r="L12" i="3"/>
  <c r="J8" i="3"/>
  <c r="J9" i="3"/>
  <c r="J10" i="3"/>
  <c r="J11" i="3"/>
  <c r="J12" i="3"/>
  <c r="K8" i="3"/>
  <c r="K9" i="3"/>
  <c r="K10" i="3"/>
  <c r="K11" i="3"/>
  <c r="K12" i="3"/>
  <c r="I12" i="3"/>
  <c r="I11" i="3"/>
  <c r="I10" i="3"/>
  <c r="I9" i="3"/>
  <c r="I8" i="3"/>
  <c r="G8" i="4"/>
  <c r="G8" i="5"/>
  <c r="G9" i="4"/>
  <c r="G9" i="5"/>
  <c r="G10" i="4"/>
  <c r="G10" i="5"/>
  <c r="G11" i="4"/>
  <c r="G11" i="5"/>
  <c r="G12" i="4"/>
  <c r="G12" i="5"/>
  <c r="F8" i="4"/>
  <c r="F8" i="5"/>
  <c r="F9" i="4"/>
  <c r="F9" i="5"/>
  <c r="F10" i="4"/>
  <c r="F10" i="5"/>
  <c r="F11" i="4"/>
  <c r="F11" i="5"/>
  <c r="F12" i="4"/>
  <c r="F12" i="5"/>
  <c r="E8" i="4"/>
  <c r="E8" i="5"/>
  <c r="E9" i="4"/>
  <c r="E9" i="5"/>
  <c r="E10" i="4"/>
  <c r="E10" i="5"/>
  <c r="E11" i="4"/>
  <c r="E11" i="5"/>
  <c r="E12" i="4"/>
  <c r="E12" i="5"/>
  <c r="H8" i="4"/>
  <c r="H8" i="5"/>
  <c r="H9" i="4"/>
  <c r="H9" i="5"/>
  <c r="H10" i="4"/>
  <c r="H10" i="5"/>
  <c r="H11" i="4"/>
  <c r="H11" i="5"/>
  <c r="H11" i="3" s="1"/>
  <c r="H12" i="4"/>
  <c r="H12" i="5"/>
  <c r="D24" i="4"/>
  <c r="D25" i="4"/>
  <c r="D8" i="4"/>
  <c r="D25" i="5"/>
  <c r="D8" i="5" s="1"/>
  <c r="D26" i="4"/>
  <c r="D9" i="4" s="1"/>
  <c r="D26" i="5"/>
  <c r="D9" i="5" s="1"/>
  <c r="D27" i="4"/>
  <c r="D10" i="4" s="1"/>
  <c r="D27" i="5"/>
  <c r="D10" i="5" s="1"/>
  <c r="D28" i="4"/>
  <c r="D11" i="4" s="1"/>
  <c r="D28" i="5"/>
  <c r="D11" i="5" s="1"/>
  <c r="D29" i="4"/>
  <c r="D12" i="4" s="1"/>
  <c r="D29" i="5"/>
  <c r="D12" i="5" s="1"/>
  <c r="B7" i="3"/>
  <c r="B13" i="3" s="1"/>
  <c r="B8" i="3"/>
  <c r="B9" i="3"/>
  <c r="B10" i="3"/>
  <c r="B11" i="3"/>
  <c r="B12" i="3"/>
  <c r="C7" i="5"/>
  <c r="C7" i="3" s="1"/>
  <c r="C13" i="3" s="1"/>
  <c r="C8" i="4"/>
  <c r="C8" i="5"/>
  <c r="C9" i="4"/>
  <c r="C9" i="5"/>
  <c r="C10" i="4"/>
  <c r="C10" i="5"/>
  <c r="C11" i="4"/>
  <c r="C11" i="5"/>
  <c r="C12" i="4"/>
  <c r="C12" i="5"/>
  <c r="B30" i="4"/>
  <c r="C30" i="4"/>
  <c r="E30" i="4"/>
  <c r="F30" i="4"/>
  <c r="G30" i="4"/>
  <c r="B13" i="4"/>
  <c r="M13" i="5"/>
  <c r="L13" i="5"/>
  <c r="B30" i="5"/>
  <c r="C30" i="5"/>
  <c r="E30" i="5"/>
  <c r="F30" i="5"/>
  <c r="G30" i="5"/>
  <c r="H30" i="5"/>
  <c r="B13" i="5"/>
  <c r="J11" i="6"/>
  <c r="I11" i="6"/>
  <c r="H11" i="6"/>
  <c r="G11" i="6"/>
  <c r="F11" i="6"/>
  <c r="E11" i="6"/>
  <c r="C11" i="6"/>
  <c r="D11" i="6"/>
  <c r="M15" i="14"/>
  <c r="M12" i="14"/>
  <c r="L15" i="14"/>
  <c r="K12" i="14"/>
  <c r="L12" i="14"/>
  <c r="K15" i="14"/>
  <c r="J15" i="14"/>
  <c r="J12" i="14"/>
  <c r="I15" i="14"/>
  <c r="I12" i="14"/>
  <c r="H15" i="14"/>
  <c r="H12" i="14"/>
  <c r="G15" i="14"/>
  <c r="G12" i="14"/>
  <c r="F15" i="14"/>
  <c r="F12" i="14"/>
  <c r="E15" i="14"/>
  <c r="E12" i="14"/>
  <c r="E16" i="14" s="1"/>
  <c r="E18" i="14" s="1"/>
  <c r="D15" i="14"/>
  <c r="D12" i="14"/>
  <c r="C15" i="14"/>
  <c r="C12" i="14"/>
  <c r="B15" i="14"/>
  <c r="B12" i="14"/>
  <c r="T13" i="3"/>
  <c r="K13" i="4"/>
  <c r="U11" i="1"/>
  <c r="V16" i="14" l="1"/>
  <c r="V18" i="14" s="1"/>
  <c r="L7" i="3"/>
  <c r="H12" i="3"/>
  <c r="Q16" i="14"/>
  <c r="Q18" i="14" s="1"/>
  <c r="H9" i="3"/>
  <c r="G12" i="3"/>
  <c r="U16" i="1"/>
  <c r="U20" i="1" s="1"/>
  <c r="V16" i="1"/>
  <c r="V20" i="1" s="1"/>
  <c r="H45" i="8"/>
  <c r="E9" i="3"/>
  <c r="E8" i="3"/>
  <c r="F11" i="3"/>
  <c r="C8" i="3"/>
  <c r="H8" i="3"/>
  <c r="D30" i="4"/>
  <c r="O13" i="3"/>
  <c r="S16" i="1"/>
  <c r="S20" i="1" s="1"/>
  <c r="D7" i="3"/>
  <c r="D8" i="3"/>
  <c r="L13" i="3"/>
  <c r="B16" i="1"/>
  <c r="B20" i="1" s="1"/>
  <c r="I7" i="3"/>
  <c r="I13" i="3" s="1"/>
  <c r="R13" i="3"/>
  <c r="S13" i="3"/>
  <c r="E10" i="3"/>
  <c r="G10" i="3"/>
  <c r="P13" i="3"/>
  <c r="F12" i="3"/>
  <c r="C10" i="3"/>
  <c r="H10" i="3"/>
  <c r="C13" i="5"/>
  <c r="G13" i="5"/>
  <c r="F10" i="3"/>
  <c r="W13" i="3"/>
  <c r="B16" i="14"/>
  <c r="B18" i="14" s="1"/>
  <c r="F16" i="14"/>
  <c r="F18" i="14" s="1"/>
  <c r="R16" i="14"/>
  <c r="R18" i="14" s="1"/>
  <c r="J16" i="14"/>
  <c r="J18" i="14" s="1"/>
  <c r="O16" i="14"/>
  <c r="O18" i="14" s="1"/>
  <c r="I16" i="14"/>
  <c r="I18" i="14" s="1"/>
  <c r="C16" i="14"/>
  <c r="C18" i="14" s="1"/>
  <c r="K16" i="14"/>
  <c r="K18" i="14" s="1"/>
  <c r="P16" i="14"/>
  <c r="P18" i="14" s="1"/>
  <c r="O16" i="1"/>
  <c r="O20" i="1" s="1"/>
  <c r="C16" i="1"/>
  <c r="C20" i="1" s="1"/>
  <c r="P16" i="1"/>
  <c r="P20" i="1" s="1"/>
  <c r="J16" i="1"/>
  <c r="J20" i="1" s="1"/>
  <c r="K16" i="1"/>
  <c r="K20" i="1" s="1"/>
  <c r="Q16" i="1"/>
  <c r="Q20" i="1" s="1"/>
  <c r="W16" i="1"/>
  <c r="W20" i="1" s="1"/>
  <c r="N16" i="1"/>
  <c r="N20" i="1" s="1"/>
  <c r="E16" i="1"/>
  <c r="E20" i="1" s="1"/>
  <c r="D16" i="1"/>
  <c r="D20" i="1" s="1"/>
  <c r="T20" i="1"/>
  <c r="R16" i="1"/>
  <c r="R20" i="1" s="1"/>
  <c r="G16" i="1"/>
  <c r="G20" i="1" s="1"/>
  <c r="F16" i="1"/>
  <c r="F20" i="1" s="1"/>
  <c r="T16" i="14"/>
  <c r="T18" i="14" s="1"/>
  <c r="D10" i="3"/>
  <c r="C11" i="3"/>
  <c r="D9" i="3"/>
  <c r="E11" i="3"/>
  <c r="E12" i="3"/>
  <c r="E13" i="4"/>
  <c r="G16" i="14"/>
  <c r="G18" i="14" s="1"/>
  <c r="L16" i="1"/>
  <c r="L20" i="1" s="1"/>
  <c r="G34" i="8"/>
  <c r="F9" i="3"/>
  <c r="G11" i="3"/>
  <c r="H16" i="14"/>
  <c r="H18" i="14" s="1"/>
  <c r="C9" i="3"/>
  <c r="C12" i="3"/>
  <c r="D30" i="5"/>
  <c r="E13" i="5"/>
  <c r="C13" i="4"/>
  <c r="G9" i="3"/>
  <c r="N13" i="3"/>
  <c r="H13" i="5"/>
  <c r="M13" i="3"/>
  <c r="G8" i="3"/>
  <c r="I16" i="1"/>
  <c r="I20" i="1" s="1"/>
  <c r="S16" i="14"/>
  <c r="S18" i="14" s="1"/>
  <c r="Q13" i="3"/>
  <c r="H16" i="1"/>
  <c r="H20" i="1" s="1"/>
  <c r="D16" i="14"/>
  <c r="D18" i="14" s="1"/>
  <c r="M16" i="1"/>
  <c r="M20" i="1" s="1"/>
  <c r="I13" i="4"/>
  <c r="L16" i="14"/>
  <c r="L18" i="14" s="1"/>
  <c r="D11" i="3"/>
  <c r="F13" i="5"/>
  <c r="K13" i="3"/>
  <c r="M16" i="14"/>
  <c r="M18" i="14" s="1"/>
  <c r="V13" i="3"/>
  <c r="J7" i="3"/>
  <c r="J13" i="3" s="1"/>
  <c r="D34" i="8"/>
  <c r="D12" i="3"/>
  <c r="E34" i="8"/>
  <c r="D13" i="5"/>
  <c r="D13" i="4"/>
  <c r="F34" i="8"/>
  <c r="F13" i="4"/>
  <c r="N13" i="4"/>
  <c r="H13" i="4"/>
  <c r="G7" i="3"/>
  <c r="J13" i="4"/>
  <c r="E7" i="3"/>
  <c r="F8" i="3"/>
  <c r="G13" i="4"/>
  <c r="H13" i="3" l="1"/>
  <c r="D13" i="3"/>
  <c r="F13" i="3"/>
  <c r="E13" i="3"/>
  <c r="G13" i="3"/>
</calcChain>
</file>

<file path=xl/sharedStrings.xml><?xml version="1.0" encoding="utf-8"?>
<sst xmlns="http://schemas.openxmlformats.org/spreadsheetml/2006/main" count="605" uniqueCount="435">
  <si>
    <t>Millones de euros</t>
  </si>
  <si>
    <t>1995</t>
  </si>
  <si>
    <t>1997</t>
  </si>
  <si>
    <t>1998</t>
  </si>
  <si>
    <t>1999</t>
  </si>
  <si>
    <t>2000</t>
  </si>
  <si>
    <t>2001</t>
  </si>
  <si>
    <t>2003</t>
  </si>
  <si>
    <t>2004</t>
  </si>
  <si>
    <r>
      <t>Fuente</t>
    </r>
    <r>
      <rPr>
        <sz val="10"/>
        <rFont val="Univers"/>
        <family val="2"/>
      </rPr>
      <t>:</t>
    </r>
  </si>
  <si>
    <t>Políticas</t>
  </si>
  <si>
    <t>CAPÍTULOS 1 a 8</t>
  </si>
  <si>
    <t>2002</t>
  </si>
  <si>
    <t>Justicia</t>
  </si>
  <si>
    <t>Defensa</t>
  </si>
  <si>
    <t>Pensiones</t>
  </si>
  <si>
    <t>Fomento del empleo</t>
  </si>
  <si>
    <t>Sanidad</t>
  </si>
  <si>
    <t>Educación</t>
  </si>
  <si>
    <t>Desempleo</t>
  </si>
  <si>
    <t>Industria y Energía</t>
  </si>
  <si>
    <t>Comercio, Turismo y P.Y.M.E.S.</t>
  </si>
  <si>
    <t>Infraestructuras</t>
  </si>
  <si>
    <t>Fondo de Contingencia</t>
  </si>
  <si>
    <t>Estructura porcentual</t>
  </si>
  <si>
    <t>1996 base</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</si>
  <si>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</si>
  <si>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</si>
  <si>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</si>
  <si>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</si>
  <si>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</si>
  <si>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</si>
  <si>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</si>
  <si>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</si>
  <si>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</si>
  <si>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</si>
  <si>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</si>
  <si>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</si>
  <si>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</si>
  <si>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</si>
  <si>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</si>
  <si>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1.1. Gastos. Clasificación económica</t>
  </si>
  <si>
    <t>Subsectores</t>
  </si>
  <si>
    <t>Estado</t>
  </si>
  <si>
    <t>Seguridad Social</t>
  </si>
  <si>
    <t>Organismos Autónomos</t>
  </si>
  <si>
    <t>PRESUPUESTO NO FINANCIERO</t>
  </si>
  <si>
    <t>Millones de pesetas</t>
  </si>
  <si>
    <t>Impuestos directos</t>
  </si>
  <si>
    <t>Impuestos indirectos</t>
  </si>
  <si>
    <t>Ingresos patrimoniales</t>
  </si>
  <si>
    <t>Enajenación inversiones reales</t>
  </si>
  <si>
    <t>TOTAL CAPÍTULOS 1 a 8</t>
  </si>
  <si>
    <t>Presupuestos Generales del Estado</t>
  </si>
  <si>
    <t>Seguridad ciudadana e Instituciones penitenc.</t>
  </si>
  <si>
    <t>2005</t>
  </si>
  <si>
    <t>Política Exterior</t>
  </si>
  <si>
    <t>Otras Prestaciones Económicas</t>
  </si>
  <si>
    <t>Servicios Sociales y Promoción Social</t>
  </si>
  <si>
    <t>Acceso a la Vivienda y Fomento de la Edificación</t>
  </si>
  <si>
    <t>Gestión y Administración de la Seguridad Social</t>
  </si>
  <si>
    <t>Cultura</t>
  </si>
  <si>
    <t>Agricultura, Pesca y Alimentación</t>
  </si>
  <si>
    <t>Subvenciones al transporte</t>
  </si>
  <si>
    <t>Investigación civil</t>
  </si>
  <si>
    <t>Otras actuaciones de carácter económico</t>
  </si>
  <si>
    <t>Servicios de carácter general</t>
  </si>
  <si>
    <t>Administración Financiera y Tributaria</t>
  </si>
  <si>
    <t>Transferencias a otras Administraciones Públicas</t>
  </si>
  <si>
    <t>Deuda Pública</t>
  </si>
  <si>
    <t>Homogeneización Justicia, Sanidad, Educación</t>
  </si>
  <si>
    <t>Artículos</t>
  </si>
  <si>
    <t>45 y 75 Comunidades Autónomas</t>
  </si>
  <si>
    <t>46 y 76 Corporaciones Locales</t>
  </si>
  <si>
    <t>47 y 77 Empresas privadas</t>
  </si>
  <si>
    <t>49 y 79 Exterior</t>
  </si>
  <si>
    <t>TOTAL TRANSFERENCIAS</t>
  </si>
  <si>
    <t>43 Fundaciones Estatales</t>
  </si>
  <si>
    <t>44 Soc. Merc. Est., EE.EE. y otros OO.PP.</t>
  </si>
  <si>
    <t>45 Comunidades Autónomas</t>
  </si>
  <si>
    <t>46 Corporaciones Locales</t>
  </si>
  <si>
    <t>47 Empresas privadas</t>
  </si>
  <si>
    <t>48 Famlias e ISFL</t>
  </si>
  <si>
    <t>49 Exterior</t>
  </si>
  <si>
    <t>TRANSFERENCIAS CORRIENTES</t>
  </si>
  <si>
    <t>73 Fundaciones Estatales</t>
  </si>
  <si>
    <t>74 Soc. Merc. Est., EE.EE. y otros OO.PP.</t>
  </si>
  <si>
    <t>75 Comunidades Autónomas</t>
  </si>
  <si>
    <t>76 Corporaciones Locales</t>
  </si>
  <si>
    <t>77 Empresas privadas</t>
  </si>
  <si>
    <t>78 Famlias e ISFL</t>
  </si>
  <si>
    <t>79 Exterior</t>
  </si>
  <si>
    <t>TRANSFERENCIAS DE CAPITAL</t>
  </si>
  <si>
    <t>1.2.1. Total transferencias por artículos</t>
  </si>
  <si>
    <t>1.2.2. Transferencias corrientes por artículos</t>
  </si>
  <si>
    <t>1.2.3. Transferencias de capital por artículos</t>
  </si>
  <si>
    <t>1.3. Gastos no financieros. Subsectores</t>
  </si>
  <si>
    <t>Política 46 Mº Defensa</t>
  </si>
  <si>
    <t>Proyectos militares (capítulo 8) Mº Industria</t>
  </si>
  <si>
    <t>Tasas, precios y otros ingresos</t>
  </si>
  <si>
    <t>78 Familias e ISFL</t>
  </si>
  <si>
    <t>Investigación militar</t>
  </si>
  <si>
    <t>48 y 78 Famlias e Instituciones sin fines lucro</t>
  </si>
  <si>
    <t>44 y 74 Sdades, EPEs, Fundac. y resto entes SP</t>
  </si>
  <si>
    <t>1.5. Ingresos. Clasificación económica</t>
  </si>
  <si>
    <t>1.4. Políticas de gasto (capítulos 1 a 8)</t>
  </si>
  <si>
    <t>(*) Presupuesto homogeneizado, teniendo en cuenta el crédito extraordinario para inmigración (RDL 1/2008).</t>
  </si>
  <si>
    <t>2008 (*)</t>
  </si>
  <si>
    <t>(**) Dentro de las transferencias corrientes del Estado se recogen los créditos para pensiones de clases pasivas que hasta 2013 se computaban en el capítulo de gastos de personal, lo que debe tenerse en cuenta a efectos de posibles comparaciones.</t>
  </si>
  <si>
    <t>2014 (**)</t>
  </si>
  <si>
    <r>
      <rPr>
        <b/>
        <sz val="16"/>
        <rFont val="Arial"/>
        <family val="2"/>
      </rPr>
      <t>A. PRESUPUESTOS</t>
    </r>
  </si>
  <si>
    <r>
      <rPr>
        <b/>
        <sz val="16"/>
        <rFont val="Arial"/>
        <family val="2"/>
      </rPr>
      <t>1. PRESUPUESTOS GENERALES DEL ESTADO CONSOLIDADOS</t>
    </r>
  </si>
  <si>
    <t>44 Sdades, Ent.Públ.Emp, Fundac y resto entes SP</t>
  </si>
  <si>
    <t>74 Sdades,Ent.Públ.Emp, Fundac, y resto entes SP</t>
  </si>
  <si>
    <t>2017</t>
  </si>
  <si>
    <t>2018</t>
  </si>
  <si>
    <t>2008(1)</t>
  </si>
  <si>
    <t>(1 )Presupuesto homogeneizado, teniendo en cuenta el crédito extraordinario para inmigración (RDL 1/2008).</t>
  </si>
  <si>
    <t>(*) Dentro del artículo 74 transferencias de capital del Estado se recogen 705 millones para mantenimiento de la red ferroviaria, que hasta 2012 se computaban en el capítulo de inversiones reales, lo que debe tenerse en cuenta a efectos de posibles comparaciones.</t>
  </si>
  <si>
    <t>2013 (*)</t>
  </si>
  <si>
    <t>2014 (*)</t>
  </si>
  <si>
    <t>(1) Presupuesto homogeneizado, teniendo en cuenta el crédito extraordinario para inmigración (RDL 1/2008).</t>
  </si>
  <si>
    <t>(*) Dentro de las transferencias corrientes del Estado se recogen los créditos para pensiones de clases pasivas que hasta 2013 se computaban en el capítulo de gastos de personal,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</si>
  <si>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</si>
  <si>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Órganos Constitucionales, Gobierno y otros</t>
  </si>
  <si>
    <t>Inversión militar GP 464</t>
  </si>
  <si>
    <t>Policía Autónoma de Cataluña</t>
  </si>
  <si>
    <t>132A : Seguridad ciudadana</t>
  </si>
  <si>
    <t>941O : Otras transferencias a CC.AA.(**)</t>
  </si>
  <si>
    <t>(**) De ese programa se sacan los costes de la Policía Autónoma de Cataluña que van al programa 132A</t>
  </si>
  <si>
    <t>Otras actuaciones de carácter económico homogeneizada (49)</t>
  </si>
  <si>
    <t>+  454M (Cap 4 y 7)</t>
  </si>
  <si>
    <t>Otras actuaciones de carácter económico (49)</t>
  </si>
  <si>
    <t>Infraestructuras (45) homogeneizada</t>
  </si>
  <si>
    <t>-  454M (Cap 4 y 7)</t>
  </si>
  <si>
    <t>Infraestructuras (45) sin homogeneizar</t>
  </si>
  <si>
    <t>* HOMOGENEIZACIÓN</t>
  </si>
  <si>
    <t>TOTAL</t>
  </si>
  <si>
    <t>95 DEUDA PÚBLICA</t>
  </si>
  <si>
    <t>951N : Amort. y gtos. finan. de la deuda pública en moneda extranj.</t>
  </si>
  <si>
    <t>951M : Amort.y gastos finan. de la deuda pública en euros</t>
  </si>
  <si>
    <t xml:space="preserve">94 TRANSFERENC. A OTRAS ADMONES PÚBLICAS </t>
  </si>
  <si>
    <t>93 ADMÓN FINANCIERA Y TRIBUTARIA</t>
  </si>
  <si>
    <t>932N : Resolución de reclamaciones económico-administrativas</t>
  </si>
  <si>
    <t>932M : Gestión del catastro inmobiliario</t>
  </si>
  <si>
    <t>932A : Aplicación del sistema tributario estatal</t>
  </si>
  <si>
    <t>931Q : Control y Supervisión de la Política Fiscal</t>
  </si>
  <si>
    <t>931P : Control interno y Contabilidad Pública</t>
  </si>
  <si>
    <t>931O : Política tributaria</t>
  </si>
  <si>
    <t xml:space="preserve">931N : Política presupuestaria </t>
  </si>
  <si>
    <t>931M : Previsión y política económica</t>
  </si>
  <si>
    <t>92 SERVICIOS DE CARÁCTER GENERAL</t>
  </si>
  <si>
    <t>929N : Fondo de contingencia de ejecución presupuestaria</t>
  </si>
  <si>
    <t>929M : Imprevistos y funciones no clasificadas</t>
  </si>
  <si>
    <t>924M : Elecciones y Partidos Políticos</t>
  </si>
  <si>
    <t>923S: Aportaciones al Mutualismo Administrativo</t>
  </si>
  <si>
    <t>923R: Contratación centralizada</t>
  </si>
  <si>
    <t>923Q: Dirección y Servic. Generales de Economía, Industria y Compet.</t>
  </si>
  <si>
    <t>923P : Relaciones con los Organismos Financieros Multilaterales</t>
  </si>
  <si>
    <t>923O : Gestión de la Deuda y de la Tesorería del Estado</t>
  </si>
  <si>
    <t>923N : Formación del personal de Economía y Hacienda</t>
  </si>
  <si>
    <t>923M : Dirección y Servicios Generales de Hacienda y Adm. Públicas</t>
  </si>
  <si>
    <t>923C : Elaboración y difusión estadística</t>
  </si>
  <si>
    <t>923B : Gestión de loterías, apuestas y juegos de azar</t>
  </si>
  <si>
    <t>923A : Gestión del Patrimonio del Estado</t>
  </si>
  <si>
    <t>922Q : Dirección y Servicios Generales de Política Territorial</t>
  </si>
  <si>
    <t>922P : Coordinación y Relaciones Financieras con la</t>
  </si>
  <si>
    <t>922O : Coordinación y Relaciones Financieras con la</t>
  </si>
  <si>
    <t>922N : Coordinación y relaciones financieras con los Entes Territ.</t>
  </si>
  <si>
    <t>922M : Organizac. territ. del Est. y desarrollo de sus sist. de colab.</t>
  </si>
  <si>
    <t>921X  : Evaluación de la transparencia de la actividad pública</t>
  </si>
  <si>
    <t>921V : Evaluación de ptcas.y prog. púb, calidad serv.e impacto normat.</t>
  </si>
  <si>
    <t>921U : Publicaciones</t>
  </si>
  <si>
    <t>921T : Servicios de transportes de Ministerios</t>
  </si>
  <si>
    <t>921S : Asesoramiento y defensa de los intereses del Estado</t>
  </si>
  <si>
    <t>921R : Publicidad de las normas legales</t>
  </si>
  <si>
    <t>921Q : Cobertura informativa</t>
  </si>
  <si>
    <t>921P : Administración periférica del Estado</t>
  </si>
  <si>
    <t>921O : Formación del personal de las administraciones públicas</t>
  </si>
  <si>
    <t>921N : Dirección y organización de la Adminsitración Pública</t>
  </si>
  <si>
    <t>921M: Dirección y Servicios Generales de Política Territorial y Función Pública</t>
  </si>
  <si>
    <t>91 ALTA DIRECCIÓN</t>
  </si>
  <si>
    <t>912R : Infraestructura para situaciones de crísis y comunic. espec.</t>
  </si>
  <si>
    <t>912Q : Asesoramiento para la protección de los intereses nacionales</t>
  </si>
  <si>
    <t>912P : Asesor. del Gobierno en materia social, económica y laboral</t>
  </si>
  <si>
    <t>912O : Relac. Cortes Grales, Secretariado del Gob.y apoyo Alta Dir.</t>
  </si>
  <si>
    <t>912N : Alto asesoramiento del Estado</t>
  </si>
  <si>
    <t>912M : Presidencia del Gobierno</t>
  </si>
  <si>
    <t>911Q : Apoyo a la gestión administrativa de la Jefatura del Estado</t>
  </si>
  <si>
    <t>911P : Control Constitucional</t>
  </si>
  <si>
    <t>911O : Control externo del Sector Público</t>
  </si>
  <si>
    <t>911N : Actividad legislativa</t>
  </si>
  <si>
    <t>911M : Jefatura del Estado</t>
  </si>
  <si>
    <t>49 OTRAS ACTUACIONES DE CARÁCTER ECONÓMICO</t>
  </si>
  <si>
    <t>497M Salvamento y lucha contra la contaminación en la mar</t>
  </si>
  <si>
    <t>496M: Regulación del juego</t>
  </si>
  <si>
    <t>495C : Metrología</t>
  </si>
  <si>
    <t>495B : Meteorología</t>
  </si>
  <si>
    <t>495A : Desarrollo y aplicac. de la información geográfica española</t>
  </si>
  <si>
    <t>494M : Admón. de las relaciones laborales y condiciones de trabajo</t>
  </si>
  <si>
    <t>493O : Regulación contable y auditorias</t>
  </si>
  <si>
    <t>493N : Regulación de mercados financieros</t>
  </si>
  <si>
    <t>493M : Dirección, control y gestión de seguros</t>
  </si>
  <si>
    <t>492O : Protección y promoción derechos de consumidores y usuarios</t>
  </si>
  <si>
    <t>492N : Regulac. y vigilancia de la compet. en el Mercado de Tabacos</t>
  </si>
  <si>
    <t>492M : Defensa competencia en los mercados y regulación sect. prod.</t>
  </si>
  <si>
    <t>491N : Servicio postal universal</t>
  </si>
  <si>
    <t>491M : Orden. y prom. de las telecom. y de la Sdad. de la Informac.</t>
  </si>
  <si>
    <t>46 INVESTIGACIÓN, DESARROLLO E INNOVACIÓN</t>
  </si>
  <si>
    <t>467I : Innovación tecnológica de las telecomunicaciones</t>
  </si>
  <si>
    <t>467H : Investigación energética, medioambiental y tecnológica</t>
  </si>
  <si>
    <t>467G : Investigación y desarrollo de la Sociedad de la información</t>
  </si>
  <si>
    <t>467F : Investigación geológico-minera y medioambiental</t>
  </si>
  <si>
    <t>467E : Investigación oceanográfica y pesquera</t>
  </si>
  <si>
    <t>467D : Investigación y experimentación agraria</t>
  </si>
  <si>
    <t>467C : Investigación y desarrollo tecnológico-industrial</t>
  </si>
  <si>
    <t>467B : Investig., desarrollo y experimentación en transporte e infraest.</t>
  </si>
  <si>
    <t>467A : Astronomía y astrofísica</t>
  </si>
  <si>
    <t>466A : Investigación y evaluación educativa</t>
  </si>
  <si>
    <t>465A : Investigación sanitaria</t>
  </si>
  <si>
    <t>464C: Investigación y estudios en materia de seguridad pública</t>
  </si>
  <si>
    <t>464B: Apoyo a la innovación tecnológica en sector defensa</t>
  </si>
  <si>
    <t>464A : Investigación y estudios de las Fuerzas Armadas</t>
  </si>
  <si>
    <t>463B : Fomento y coord. de la investigación científica y técnica</t>
  </si>
  <si>
    <t>463A : Investigación científica</t>
  </si>
  <si>
    <t>462N : Investigación y estudios estadísticos y económicos</t>
  </si>
  <si>
    <t>462M: Investigación y estudios sociológicos y constitucionales</t>
  </si>
  <si>
    <t>461M : Dirección y Servicios Generales de Ciencia y</t>
  </si>
  <si>
    <t>45 INFRAESTRUCTURAS</t>
  </si>
  <si>
    <t>457M : Infraestructuras en comarcas mineras del carbón</t>
  </si>
  <si>
    <t>456M : Act.para la preven.de la contaminación y el cambio climático</t>
  </si>
  <si>
    <t>456D : Actuación en la costa</t>
  </si>
  <si>
    <t>456C : Protección y mejora del medio natural</t>
  </si>
  <si>
    <t>456B : Protección y mejora del medio ambiente</t>
  </si>
  <si>
    <t>456A : Calidad del agua</t>
  </si>
  <si>
    <t>455O: Comisión de investig. de accidentes e incidentes aviación civil</t>
  </si>
  <si>
    <t>455M : Regulación y supervisión de la aviación civil</t>
  </si>
  <si>
    <t>454O: Comisión de investigación de accidentes e incidentes marítimos</t>
  </si>
  <si>
    <t xml:space="preserve">454M : Regulación y seguridad del tráfico marítimo </t>
  </si>
  <si>
    <t xml:space="preserve">453O: Comisión de investigación de accidentes ferroviarios </t>
  </si>
  <si>
    <t xml:space="preserve">453N: Regulación y supervisión de la seguridad ferroviaria </t>
  </si>
  <si>
    <t>453M : Ordenación e inspección del transporte terrestre</t>
  </si>
  <si>
    <t>453C : Conservación y explotación de carreteras</t>
  </si>
  <si>
    <t>453B : Creación de infraestructura de carreteras</t>
  </si>
  <si>
    <t>453A : Infraestructura del transporte ferroviario</t>
  </si>
  <si>
    <t>452M : Normativa y ordenac. territorial de los recursos hídricos</t>
  </si>
  <si>
    <t>452A : Gestión e infraestructuras del agua</t>
  </si>
  <si>
    <t>451O : Dirección y Serv. Gener. de Agricul., Pesca, Aliment. y Medio Amb.</t>
  </si>
  <si>
    <t>451N: Dirección y Servicios Generales de Fomento</t>
  </si>
  <si>
    <t>451M : Estudios y serv. asist. técn. en Obras Públicas y Urbanismo</t>
  </si>
  <si>
    <t>44 SUBVENCIONES AL TRANSPORTE</t>
  </si>
  <si>
    <t xml:space="preserve">441P : Subvenciones al transporte extrapeninsular de mercancías </t>
  </si>
  <si>
    <t>441O : Subvenciones y apoyo al transporte aéreo</t>
  </si>
  <si>
    <t>441N : Subvenciones y apoyo al transporte marítimo</t>
  </si>
  <si>
    <t>441M : Subvenciones y apoyo al transporte terrestre</t>
  </si>
  <si>
    <t>43 COMERCIO, TURISMO Y PYMES</t>
  </si>
  <si>
    <t>433M : Apoyo a la pequeña y mediana empresa</t>
  </si>
  <si>
    <t>432A : Coordinación y promoción del turismo</t>
  </si>
  <si>
    <t>431O : Ordenación y modernización de las estructuras comerciales</t>
  </si>
  <si>
    <t>431N : Ordenación del comercio exterior</t>
  </si>
  <si>
    <t>431M : Dirección y Servicios Generales de Comercio y Turismo</t>
  </si>
  <si>
    <t>431A : Promoción comercial e internacionalización de la empresa</t>
  </si>
  <si>
    <t>42 INDUSTRIA Y ENERGÍA</t>
  </si>
  <si>
    <t>425A : Normativa y desarollo energético</t>
  </si>
  <si>
    <t>424M : Seguridad nuclear y protección radiológica</t>
  </si>
  <si>
    <t>423N : Explotación minera</t>
  </si>
  <si>
    <t>423M : Desarrollo alternativo de las comarcas mineras del carbón</t>
  </si>
  <si>
    <t>422M : Reconversión y reindustrialización</t>
  </si>
  <si>
    <t>422B : Desarrollo industrial</t>
  </si>
  <si>
    <t>422A : Incentivos regionales a la localización industrial</t>
  </si>
  <si>
    <t>421O : Calidad y seguridad industrial</t>
  </si>
  <si>
    <t>421N : Regulación y protección de la propiedad industrial</t>
  </si>
  <si>
    <t>421M: Dirección y servic. Gener. de Energia, Turismo y Agenda Digital</t>
  </si>
  <si>
    <t>41 AGRICULTURA, PESCA Y ALIMENTACIÓN</t>
  </si>
  <si>
    <t>417A: Desarrollo de la política forestal</t>
  </si>
  <si>
    <t>416A : Previsión de riesgos en las producciones agrarias y pesqueras</t>
  </si>
  <si>
    <t>415B : Mejora de estructuras y mercados pesqueros</t>
  </si>
  <si>
    <t>415A : Protección de los recursos pesqueros y desarrollo sostenible</t>
  </si>
  <si>
    <t>414C : Programa de desarrollo rural sostenible</t>
  </si>
  <si>
    <t>414B : Desarrollo del medio rural</t>
  </si>
  <si>
    <t>414A: Gestión de Recursos Hídricos para el Regadío</t>
  </si>
  <si>
    <t>413A: Competitividad de industria agroalimentaria y calidad alimentaria</t>
  </si>
  <si>
    <t>412M : Regulación de los mercados agrarios</t>
  </si>
  <si>
    <t>412D Competitividad y calidad de la sanidad agraria</t>
  </si>
  <si>
    <t>412C Competitividad y calidad de la producción y los mercados agrarios</t>
  </si>
  <si>
    <t>412B : Competitividad y calidad de la producción ganadera</t>
  </si>
  <si>
    <t>412A : Competitividad y calidad de la producción agrícola</t>
  </si>
  <si>
    <t>411M : Direc. y Servicios Generales de Agricultura, Pesca y Alimen.</t>
  </si>
  <si>
    <t>33 CULTURA</t>
  </si>
  <si>
    <t>337D: Administración de los Reales Patronatos</t>
  </si>
  <si>
    <t>337C : Protección del Patrimonio Histórico</t>
  </si>
  <si>
    <t>337B : Conservación y restauración de bienes culturales</t>
  </si>
  <si>
    <t>337A : Administración del Patrimonio Histórico-Nacional</t>
  </si>
  <si>
    <t>336A : Fomento y apoyo de las actividades deportivas</t>
  </si>
  <si>
    <t>335C : Cinematografía</t>
  </si>
  <si>
    <t>335B : Teatro</t>
  </si>
  <si>
    <t>335A : Música y danza</t>
  </si>
  <si>
    <t>334C: Fomento de las industrias culturales</t>
  </si>
  <si>
    <t>334B : Promoción del libro y publicaciones culturales</t>
  </si>
  <si>
    <t>334A : Promoción y cooperación cultural</t>
  </si>
  <si>
    <t>333B : Exposiciones</t>
  </si>
  <si>
    <t>333A : Museos</t>
  </si>
  <si>
    <t>332B : Bibliotecas</t>
  </si>
  <si>
    <t>332A : Archivos</t>
  </si>
  <si>
    <t>331M: Dirección y Servicios Generales de Cultura</t>
  </si>
  <si>
    <t>32 EDUCACIÓN</t>
  </si>
  <si>
    <t>324N : Apoyo a otras actividades escolares</t>
  </si>
  <si>
    <t>324M : Servicios complementarios de la enseñanza</t>
  </si>
  <si>
    <t>323M : Becas y ayudas a estudiantes</t>
  </si>
  <si>
    <t>322L: Inversiones en centros educativos y otras actividades educativas</t>
  </si>
  <si>
    <t>322K : Deporte en edad escolar y en la Universidad</t>
  </si>
  <si>
    <t>322J : Nuevas tecnologías aplicadas a la educación</t>
  </si>
  <si>
    <t>322I : Enseñanzas especiales</t>
  </si>
  <si>
    <t>322H : Educación permanente y a distancia no universitaria</t>
  </si>
  <si>
    <t>322G : Educación compensatoria</t>
  </si>
  <si>
    <t>322F : Educación en el exterior</t>
  </si>
  <si>
    <t>322E : Enseñanzas artísticas</t>
  </si>
  <si>
    <t>322D: Educación especial</t>
  </si>
  <si>
    <t>322C : Enseñanzas universitarias</t>
  </si>
  <si>
    <t>322B : Educ. secundaria, formación profesional y Esc. Ofic. de Idiomas</t>
  </si>
  <si>
    <t>322A : Educación infantil y primaria</t>
  </si>
  <si>
    <t>321N : Formación permanente del profesorado de Educación</t>
  </si>
  <si>
    <t>321M : Dirección y Servici. Generales de la Educ., Cultura y Deporte</t>
  </si>
  <si>
    <t>31 SANIDAD</t>
  </si>
  <si>
    <t>313D : Donación y trasplante de órganos, tejidos y células</t>
  </si>
  <si>
    <t>313C : Seguridad alimentaria y nutrición</t>
  </si>
  <si>
    <t>313B : Salud pública, sanidad exterior y calidad</t>
  </si>
  <si>
    <t>313A: Prestaciones sanitarias y farmacia</t>
  </si>
  <si>
    <t>312M : Asistencia sanitaria de la Seg. Social gestionada por CC.AA.</t>
  </si>
  <si>
    <t>312G : Atención especializ. salud Mutuas Acc. Trabajo y E.P e I.S.M</t>
  </si>
  <si>
    <t>312F : Atención primaria de salud Mutuas Acc. Trabajo y E.P e I.S.M</t>
  </si>
  <si>
    <t>312E : Asistencia sanitaria del Mutualismo Administrativo</t>
  </si>
  <si>
    <t>312D : Medicina marítima</t>
  </si>
  <si>
    <t>312C : Atención especializada de salud. Inst. Nac. de Gest. Sanit.</t>
  </si>
  <si>
    <t>312B : Atención primaria de salud. Inst. Nac. de Gestión Sanitaria</t>
  </si>
  <si>
    <t>312A : Asistencia hospitalaria en las Fuerzas Armadas</t>
  </si>
  <si>
    <t>311O: Políticas de Salud y Ordenación Profesional</t>
  </si>
  <si>
    <t>311N : Formación sanitaria</t>
  </si>
  <si>
    <t>311M: Dirección y Servicios Generales de Sanidad, Consumo y Bienestar Social</t>
  </si>
  <si>
    <t>29 GESTIÓN Y ADMINISTRACIÓN DE LA S.S.</t>
  </si>
  <si>
    <t>291M : Direcc. y Serv. Grales de Seg. Social y Protección Social</t>
  </si>
  <si>
    <t>291A : Inspección y control de Seguridad y Protección Social</t>
  </si>
  <si>
    <t>26 ACCESO A LA VIVIENDA Y FOMENTO DE LA EDIFICACIÓN</t>
  </si>
  <si>
    <t>261P: Urbanismo y política del suelo</t>
  </si>
  <si>
    <t>261O : Ordenación y fomento de la edificación</t>
  </si>
  <si>
    <t>261N : Promoción, admón. y ayudas para rehabil. y acceso a vivienda</t>
  </si>
  <si>
    <t>261M : Dirección y Servicios Generales de Vivienda</t>
  </si>
  <si>
    <t>25 DESEMPLEO</t>
  </si>
  <si>
    <t>251M : Prestaciones a los desempleados</t>
  </si>
  <si>
    <t>24 FOMENTO DEL EMPLEO</t>
  </si>
  <si>
    <t>241N: Desarrollo del trabjo autón., la ec. social y de la respons. social de las empr.</t>
  </si>
  <si>
    <t>241B: Formación Profesional para el Empleo</t>
  </si>
  <si>
    <t>241A : Fomento de la inserción y estabilidad laboral</t>
  </si>
  <si>
    <t>23 SERVIC. SOCIALES Y PROMOCIÓN SOCIAL</t>
  </si>
  <si>
    <t>239M : Gestión de los servicios sociales de la Seguridad Social</t>
  </si>
  <si>
    <t>232M: Dirección y servicios generales de promoción social</t>
  </si>
  <si>
    <t>232D: Igualdad de trato y diversidad</t>
  </si>
  <si>
    <t>232C: Actuaciones para la prevención integral de la violencia de género</t>
  </si>
  <si>
    <t>232B : Igualdad de oportunidades entre mujeres y hombres</t>
  </si>
  <si>
    <t>232A : Promoción y servicios a la juventud</t>
  </si>
  <si>
    <t>231N : Coordinación en materia de extranjería e inm</t>
  </si>
  <si>
    <t>231M : Servicios sociales de la Seg. Soc. gestionados por las CC.AA</t>
  </si>
  <si>
    <t>231I: Autonomía personal y atención a la Dependencia</t>
  </si>
  <si>
    <t>231H: Acciones a favor de los inmigrantes</t>
  </si>
  <si>
    <t>231G : Atención a la infancia y a las familias</t>
  </si>
  <si>
    <t>231F : Otros servicios sociales del Estado</t>
  </si>
  <si>
    <t>231E : Otros servicios sociales de la Seguridad Social</t>
  </si>
  <si>
    <t>231D : Servicios Sociales de la Seguridad Social a personas mayores</t>
  </si>
  <si>
    <t>231C: Servicios Sociales Seg.Social a personas con discapacidad</t>
  </si>
  <si>
    <t>231B: Acciones en favor de los emigrantes</t>
  </si>
  <si>
    <t>231A : Plan Nacional sobre Drogas</t>
  </si>
  <si>
    <t>22 OTRAS PRESTACIONES ECONÓMICAS</t>
  </si>
  <si>
    <t>224M: Prestaciones económicas por cese de actividad</t>
  </si>
  <si>
    <t>223M: Prestaciones de garantía salarial</t>
  </si>
  <si>
    <t>222M : Prestaciones económicas del Mutualismo Administrativo</t>
  </si>
  <si>
    <t>221M : Subsidios incapac. temporal y otras pres. econ. de Seg. Soc.</t>
  </si>
  <si>
    <t>21 PENSIONES</t>
  </si>
  <si>
    <t>219N : Gestión de pensiones de Clases Pasivas</t>
  </si>
  <si>
    <t>219M : Gestión de las prestaciones económicas de Seguridad Social</t>
  </si>
  <si>
    <t>212O: Gestión y control de los complementos a mínimos de pensiones</t>
  </si>
  <si>
    <t>212N : Pensiones de guerra</t>
  </si>
  <si>
    <t>212M : Pensiones no contributivas y prestaciones asistenciales</t>
  </si>
  <si>
    <t>211O : Otras pensiones y prestaciones de Clases Pasivas</t>
  </si>
  <si>
    <t>211N : Pensiones de Clases Pasivas</t>
  </si>
  <si>
    <t>211M : Pensiones contributivas de la Seguridad Social</t>
  </si>
  <si>
    <t>14 POLÍTICA EXTERIOR</t>
  </si>
  <si>
    <t>144B : Cooperación, promoción y difusión educativa en el exterior</t>
  </si>
  <si>
    <t>144A : Cooperación, promoción y difusión cultural en el exterior</t>
  </si>
  <si>
    <t>143A : Cooperación para el desarrollo</t>
  </si>
  <si>
    <t>142B : Acción diplomática ante la Unión Europea</t>
  </si>
  <si>
    <t>142A : Acción del Estado en el exterior</t>
  </si>
  <si>
    <t>141M : Dirección y Servicios Generales de Asuntos Exteriores</t>
  </si>
  <si>
    <t>13 SEGURIDAD CIUDAD. E INST. PENITENCIARIAS</t>
  </si>
  <si>
    <t>135M : Protección de datos de carácter personal</t>
  </si>
  <si>
    <t>134M : Protección Civil</t>
  </si>
  <si>
    <t>133B : Trabajo, formación y asistencia a reclusos</t>
  </si>
  <si>
    <t>133A : Centros e Instituciones Penitenciarias</t>
  </si>
  <si>
    <t>132C : Actuaciones policiales en materia de droga</t>
  </si>
  <si>
    <t>132B : Seguridad vial</t>
  </si>
  <si>
    <t>131P : Derecho de asilo y apátridas</t>
  </si>
  <si>
    <t>131O : Fuerzas y Cuerpos en reserva</t>
  </si>
  <si>
    <t>131N : Formación de Fuerzas y Cuerpos de Seguridad del Estado</t>
  </si>
  <si>
    <t>131M : Dirección y Serv. Generales de Seguridad y Protección Civil</t>
  </si>
  <si>
    <t>12 DEFENSA</t>
  </si>
  <si>
    <t>122N : Apoyo logístico</t>
  </si>
  <si>
    <t>122M: Gastos operativos de las Fuerzas Armadas</t>
  </si>
  <si>
    <t>122B : Programas especiales de modernización</t>
  </si>
  <si>
    <t>122A : Modernización de las Fuerzas Armadas</t>
  </si>
  <si>
    <t>121O : Personal en reserva</t>
  </si>
  <si>
    <t>121N : Formación del personal de las Fuerzas Armadas</t>
  </si>
  <si>
    <t>121M : Administración y Servicios Generales de Defensa</t>
  </si>
  <si>
    <t>11 JUSTICIA</t>
  </si>
  <si>
    <t>113M : Registros vinculados con la Fe Pública</t>
  </si>
  <si>
    <t>112A : Tribunales de Justicia y Ministerio Fiscal</t>
  </si>
  <si>
    <t>111R: Formación de la Carrera Fiscal</t>
  </si>
  <si>
    <t>111Q : Formación del personal de la Administración de Justicia</t>
  </si>
  <si>
    <t>111P : Documentación y publicaciones Judiciales</t>
  </si>
  <si>
    <t>111O : Selección y formación de Jueces</t>
  </si>
  <si>
    <t>111N : Dirección y Servicios Generales de Justicia</t>
  </si>
  <si>
    <t>111M : Gobierno del Poder Judicial</t>
  </si>
  <si>
    <t>2008**</t>
  </si>
  <si>
    <t xml:space="preserve">2006 </t>
  </si>
  <si>
    <t>Programas</t>
  </si>
  <si>
    <t>1.6. Programas de gasto (capítulos 1 a 8)</t>
  </si>
  <si>
    <r>
      <t>Fuente</t>
    </r>
    <r>
      <rPr>
        <sz val="9"/>
        <rFont val="Univers"/>
        <family val="2"/>
      </rPr>
      <t>: Presupuestos Generales del Estado</t>
    </r>
  </si>
  <si>
    <t>941M : Transferencias a CC.AA. por participación en ingresos Estado</t>
  </si>
  <si>
    <t>941N : Transferencias a CC.AA. por los Fondos de Compens. Intert.</t>
  </si>
  <si>
    <t>942A : Cooperación económica local del Estado</t>
  </si>
  <si>
    <t>942M : Transferencias a EE.LL. por participación en ingresos Estado</t>
  </si>
  <si>
    <t>942N : Otras aportaciones a Entidades Locales</t>
  </si>
  <si>
    <t>943M : Transferencias al Presup. Gral. de la Unión Europea</t>
  </si>
  <si>
    <t>943N : Cooperación al desarr. a través del F. Europeo de Desarrollo</t>
  </si>
  <si>
    <t>Resto de Entidades del SP Administrativo con Ppto Limitativo</t>
  </si>
  <si>
    <t>14 de febrero de 2019</t>
  </si>
  <si>
    <t>2018-P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</si>
</sst>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C0A]d\ &quot;de&quot;\ mmmm\ &quot;de&quot;\ yyyy;@"/>
    <numFmt numFmtId="166" formatCode="#,##0.0000"/>
    <numFmt numFmtId="167" formatCode="0.0"/>
    <numFmt numFmtId="168" formatCode="#,##0&quot; *&quot;"/>
    <numFmt numFmtId="169" formatCode="#,##0.000"/>
  </numFmts>
  <fonts count="42">
    <font>
      <sz val="10"/>
      <name val="Arial"/>
    </font>
    <font>
      <sz val="10"/>
      <name val="Arial"/>
    </font>
    <font>
      <sz val="10"/>
      <name val="Univers"/>
      <family val="2"/>
    </font>
    <font>
      <b/>
      <sz val="12"/>
      <name val="Univers"/>
      <family val="2"/>
    </font>
    <font>
      <sz val="9"/>
      <name val="Univers"/>
      <family val="2"/>
    </font>
    <font>
      <sz val="8"/>
      <name val="Univers"/>
      <family val="2"/>
    </font>
    <font>
      <sz val="11"/>
      <name val="Univers"/>
      <family val="2"/>
    </font>
    <font>
      <sz val="11"/>
      <name val="Univers"/>
      <family val="2"/>
    </font>
    <font>
      <b/>
      <sz val="9"/>
      <name val="Univers"/>
      <family val="2"/>
    </font>
    <font>
      <b/>
      <sz val="8"/>
      <name val="Univers"/>
      <family val="2"/>
    </font>
    <font>
      <b/>
      <sz val="11"/>
      <name val="Univers"/>
      <family val="2"/>
    </font>
    <font>
      <sz val="9"/>
      <name val="Univers"/>
      <family val="2"/>
    </font>
    <font>
      <b/>
      <u/>
      <sz val="10"/>
      <name val="Univers"/>
      <family val="2"/>
    </font>
    <font>
      <sz val="10"/>
      <name val="Univers"/>
      <family val="2"/>
    </font>
    <font>
      <sz val="10"/>
      <name val="Arial"/>
      <family val="2"/>
    </font>
    <font>
      <sz val="10"/>
      <name val="Times New Roman"/>
      <family val="1"/>
    </font>
    <font>
      <b/>
      <sz val="10"/>
      <name val="Times New Roman"/>
      <family val="1"/>
    </font>
    <font>
      <sz val="8"/>
      <name val="Univers"/>
      <family val="2"/>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sz val="11"/>
      <color indexed="8"/>
      <name val="Arial"/>
      <family val="2"/>
    </font>
    <font>
      <i/>
      <sz val="8"/>
      <name val="Univers"/>
      <family val="2"/>
    </font>
    <font>
      <sz val="10"/>
      <name val="Arial Unicode MS"/>
      <family val="2"/>
    </font>
    <font>
      <b/>
      <sz val="10"/>
      <name val="Univers"/>
      <family val="2"/>
    </font>
    <font>
      <b/>
      <sz val="8"/>
      <color indexed="8"/>
      <name val="Arial"/>
      <family val="2"/>
    </font>
    <font>
      <b/>
      <i/>
      <sz val="8"/>
      <color indexed="8"/>
      <name val="Arial"/>
      <family val="2"/>
    </font>
    <font>
      <sz val="11"/>
      <color theme="1"/>
      <name val="Calibri"/>
      <family val="2"/>
      <scheme val="minor"/>
    </font>
    <font>
      <b/>
      <sz val="16"/>
      <color theme="0"/>
      <name val="Arial"/>
      <family val="2"/>
    </font>
    <font>
      <sz val="8"/>
      <color indexed="10"/>
      <name val="Univers"/>
      <family val="2"/>
    </font>
    <font>
      <b/>
      <sz val="8"/>
      <color indexed="10"/>
      <name val="Univers"/>
      <family val="2"/>
    </font>
    <font>
      <sz val="9"/>
      <color indexed="8"/>
      <name val="Univers"/>
      <family val="2"/>
    </font>
    <font>
      <sz val="8"/>
      <color indexed="8"/>
      <name val="Univers"/>
      <family val="2"/>
    </font>
    <font>
      <b/>
      <u/>
      <sz val="9"/>
      <name val="Univers"/>
      <family val="2"/>
    </font>
    <font>
      <b/>
      <sz val="11"/>
      <color indexed="10"/>
      <name val="Univers"/>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theme="0"/>
        <bgColor indexed="64"/>
      </patternFill>
    </fill>
  </fills>
  <borders count="13">
    <border>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64"/>
      </top>
      <bottom/>
      <diagonal/>
    </border>
    <border>
      <left/>
      <right/>
      <top style="medium">
        <color indexed="9"/>
      </top>
      <bottom style="thin">
        <color indexed="64"/>
      </bottom>
      <diagonal/>
    </border>
    <border>
      <left/>
      <right/>
      <top style="thin">
        <color auto="1"/>
      </top>
      <bottom style="thin">
        <color auto="1"/>
      </bottom>
      <diagonal/>
    </border>
    <border>
      <left/>
      <right/>
      <top/>
      <bottom style="medium">
        <color indexed="64"/>
      </bottom>
      <diagonal/>
    </border>
    <border>
      <left/>
      <right/>
      <top style="medium">
        <color indexed="64"/>
      </top>
      <bottom style="medium">
        <color indexed="64"/>
      </bottom>
      <diagonal/>
    </border>
  </borders>
  <cellStyleXfs count="13">
    <xf numFmtId="0" fontId="0" fillId="0" borderId="0"/>
    <xf numFmtId="0" fontId="14" fillId="0" borderId="0">
      <alignment vertical="center"/>
    </xf>
    <xf numFmtId="43" fontId="34" fillId="0" borderId="0" applyFont="0" applyFill="0" applyBorder="0" applyAlignment="0" applyProtection="0"/>
    <xf numFmtId="0" fontId="34" fillId="0" borderId="0"/>
    <xf numFmtId="0" fontId="1" fillId="0" borderId="0"/>
    <xf numFmtId="0" fontId="15" fillId="0" borderId="0">
      <alignment vertical="center"/>
    </xf>
    <xf numFmtId="0" fontId="15" fillId="0" borderId="0">
      <alignment vertical="center"/>
    </xf>
    <xf numFmtId="0" fontId="15" fillId="0" borderId="1">
      <alignment vertical="center"/>
    </xf>
    <xf numFmtId="0" fontId="16" fillId="0" borderId="0">
      <alignment vertical="center"/>
    </xf>
    <xf numFmtId="0" fontId="14" fillId="0" borderId="0"/>
    <xf numFmtId="0" fontId="14" fillId="0" borderId="0"/>
    <xf numFmtId="0" fontId="14" fillId="0" borderId="0" applyFont="0" applyFill="0" applyBorder="0" applyAlignment="0" applyProtection="0"/>
    <xf numFmtId="0" fontId="14" fillId="0" borderId="0"/>
  </cellStyleXfs>
  <cellXfs count="175">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3" fontId="5" fillId="0" borderId="0" xfId="0" applyNumberFormat="1" applyFont="1" applyFill="1" applyBorder="1" applyAlignment="1">
      <alignment horizontal="right" vertical="center"/>
    </xf>
    <xf numFmtId="0" fontId="6" fillId="0" borderId="0" xfId="0" applyFont="1" applyFill="1" applyAlignment="1">
      <alignment vertical="center"/>
    </xf>
    <xf numFmtId="0" fontId="10" fillId="0" borderId="0" xfId="0" applyFont="1" applyFill="1" applyAlignment="1"/>
    <xf numFmtId="0" fontId="5" fillId="0" borderId="0" xfId="0" applyFont="1" applyFill="1" applyBorder="1" applyAlignment="1">
      <alignment vertical="center"/>
    </xf>
    <xf numFmtId="3" fontId="11" fillId="0" borderId="0" xfId="0" applyNumberFormat="1" applyFont="1" applyFill="1" applyAlignment="1">
      <alignment vertical="center"/>
    </xf>
    <xf numFmtId="0" fontId="12" fillId="0" borderId="0" xfId="0" quotePrefix="1" applyFont="1" applyFill="1" applyBorder="1" applyAlignment="1">
      <alignment horizontal="left" vertical="center"/>
    </xf>
    <xf numFmtId="0" fontId="3" fillId="0" borderId="0" xfId="0" applyFont="1" applyFill="1" applyBorder="1" applyAlignment="1">
      <alignment vertical="center"/>
    </xf>
    <xf numFmtId="0" fontId="13"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4" fillId="0" borderId="0" xfId="0" applyFont="1" applyFill="1" applyAlignment="1">
      <alignment vertical="center"/>
    </xf>
    <xf numFmtId="0" fontId="14" fillId="0" borderId="0" xfId="0" applyFont="1" applyFill="1" applyBorder="1" applyAlignment="1">
      <alignment vertical="center"/>
    </xf>
    <xf numFmtId="0" fontId="21" fillId="0" borderId="2" xfId="0" quotePrefix="1" applyFont="1" applyFill="1" applyBorder="1" applyAlignment="1">
      <alignment horizontal="center" vertical="center"/>
    </xf>
    <xf numFmtId="0" fontId="19" fillId="0" borderId="0" xfId="0" applyFont="1" applyFill="1" applyBorder="1" applyAlignment="1">
      <alignment vertical="center"/>
    </xf>
    <xf numFmtId="0" fontId="22" fillId="0" borderId="0" xfId="0" applyFont="1" applyFill="1" applyBorder="1" applyAlignment="1">
      <alignment horizontal="left" vertical="center"/>
    </xf>
    <xf numFmtId="0" fontId="24" fillId="0" borderId="0" xfId="0" applyFont="1" applyFill="1" applyAlignment="1">
      <alignment vertical="center"/>
    </xf>
    <xf numFmtId="0" fontId="22" fillId="0" borderId="0" xfId="0" applyFont="1" applyFill="1" applyBorder="1" applyAlignment="1">
      <alignment vertical="center"/>
    </xf>
    <xf numFmtId="0" fontId="22" fillId="0" borderId="3" xfId="0" applyFont="1" applyFill="1" applyBorder="1" applyAlignment="1">
      <alignment vertical="center"/>
    </xf>
    <xf numFmtId="0" fontId="22" fillId="0" borderId="2" xfId="0" applyFont="1" applyFill="1" applyBorder="1" applyAlignment="1">
      <alignment horizontal="left" vertical="center"/>
    </xf>
    <xf numFmtId="0" fontId="22" fillId="0" borderId="2" xfId="0" quotePrefix="1" applyFont="1" applyFill="1" applyBorder="1" applyAlignment="1">
      <alignment horizontal="left" vertical="center"/>
    </xf>
    <xf numFmtId="0" fontId="21" fillId="0" borderId="2" xfId="0" applyFont="1" applyFill="1" applyBorder="1" applyAlignment="1">
      <alignment horizontal="left" vertical="center"/>
    </xf>
    <xf numFmtId="0" fontId="26" fillId="0" borderId="0" xfId="0" applyFont="1" applyFill="1" applyAlignment="1">
      <alignment vertical="center"/>
    </xf>
    <xf numFmtId="0" fontId="21" fillId="0" borderId="2" xfId="0" applyFont="1" applyFill="1" applyBorder="1" applyAlignment="1">
      <alignment horizontal="left"/>
    </xf>
    <xf numFmtId="0" fontId="26" fillId="0" borderId="0" xfId="0" applyFont="1" applyFill="1" applyAlignment="1"/>
    <xf numFmtId="0" fontId="23" fillId="0" borderId="0" xfId="0" applyFont="1" applyFill="1" applyBorder="1" applyAlignment="1">
      <alignment vertical="center"/>
    </xf>
    <xf numFmtId="3" fontId="22" fillId="0" borderId="0" xfId="0" applyNumberFormat="1" applyFont="1" applyFill="1" applyAlignment="1">
      <alignment vertical="center"/>
    </xf>
    <xf numFmtId="0" fontId="27" fillId="0" borderId="0" xfId="0" quotePrefix="1" applyFont="1" applyFill="1" applyBorder="1" applyAlignment="1">
      <alignment horizontal="left" vertical="center"/>
    </xf>
    <xf numFmtId="0" fontId="28" fillId="0" borderId="0" xfId="0" applyFont="1" applyFill="1" applyAlignment="1">
      <alignment vertical="center"/>
    </xf>
    <xf numFmtId="3" fontId="23" fillId="0" borderId="0" xfId="0" applyNumberFormat="1" applyFont="1" applyFill="1" applyBorder="1" applyAlignment="1">
      <alignment horizontal="right" vertical="center"/>
    </xf>
    <xf numFmtId="3" fontId="23" fillId="0" borderId="3" xfId="0" applyNumberFormat="1" applyFont="1" applyFill="1" applyBorder="1" applyAlignment="1">
      <alignment horizontal="right" vertical="center"/>
    </xf>
    <xf numFmtId="3" fontId="23" fillId="0" borderId="2" xfId="0" applyNumberFormat="1" applyFont="1" applyFill="1" applyBorder="1" applyAlignment="1">
      <alignment horizontal="right" vertical="center"/>
    </xf>
    <xf numFmtId="3" fontId="25" fillId="0" borderId="2" xfId="0" applyNumberFormat="1" applyFont="1" applyFill="1" applyBorder="1" applyAlignment="1">
      <alignment horizontal="right" vertical="center"/>
    </xf>
    <xf numFmtId="3" fontId="25" fillId="0" borderId="2" xfId="0" applyNumberFormat="1" applyFont="1" applyFill="1" applyBorder="1" applyAlignment="1">
      <alignment horizontal="right"/>
    </xf>
    <xf numFmtId="0" fontId="21" fillId="0" borderId="2" xfId="0" quotePrefix="1" applyFont="1" applyFill="1" applyBorder="1" applyAlignment="1">
      <alignment horizontal="left"/>
    </xf>
    <xf numFmtId="0" fontId="22" fillId="0" borderId="0" xfId="0" quotePrefix="1" applyFont="1" applyFill="1" applyBorder="1" applyAlignment="1">
      <alignment horizontal="left" vertical="center"/>
    </xf>
    <xf numFmtId="164" fontId="23" fillId="0" borderId="0" xfId="0" applyNumberFormat="1" applyFont="1" applyFill="1" applyBorder="1" applyAlignment="1">
      <alignment horizontal="right" vertical="center"/>
    </xf>
    <xf numFmtId="164" fontId="25" fillId="0" borderId="2" xfId="0" applyNumberFormat="1" applyFont="1" applyFill="1" applyBorder="1" applyAlignment="1">
      <alignment horizontal="right"/>
    </xf>
    <xf numFmtId="3" fontId="14" fillId="0" borderId="0" xfId="0" applyNumberFormat="1" applyFont="1" applyFill="1" applyAlignment="1">
      <alignment vertical="center"/>
    </xf>
    <xf numFmtId="3" fontId="9" fillId="0" borderId="0" xfId="0" applyNumberFormat="1" applyFont="1" applyFill="1" applyBorder="1" applyAlignment="1">
      <alignment horizontal="right"/>
    </xf>
    <xf numFmtId="0" fontId="19" fillId="2" borderId="0" xfId="0" quotePrefix="1" applyFont="1" applyFill="1" applyBorder="1" applyAlignment="1">
      <alignment horizontal="left" vertical="center"/>
    </xf>
    <xf numFmtId="164" fontId="20" fillId="2" borderId="0" xfId="4" applyNumberFormat="1" applyFont="1" applyFill="1" applyBorder="1" applyAlignment="1">
      <alignment horizontal="left" vertical="center"/>
    </xf>
    <xf numFmtId="0" fontId="21" fillId="3" borderId="4" xfId="0" applyFont="1" applyFill="1" applyBorder="1" applyAlignment="1">
      <alignment vertical="center"/>
    </xf>
    <xf numFmtId="0" fontId="21" fillId="3" borderId="4" xfId="0" quotePrefix="1" applyFont="1" applyFill="1" applyBorder="1" applyAlignment="1">
      <alignment horizontal="center" vertical="center"/>
    </xf>
    <xf numFmtId="0" fontId="14" fillId="0" borderId="0" xfId="0" applyFont="1" applyFill="1" applyAlignment="1">
      <alignment horizontal="left" vertical="center"/>
    </xf>
    <xf numFmtId="3" fontId="29" fillId="0" borderId="3" xfId="0" applyNumberFormat="1" applyFont="1" applyFill="1" applyBorder="1" applyAlignment="1">
      <alignment horizontal="right" vertical="center"/>
    </xf>
    <xf numFmtId="0" fontId="22" fillId="0" borderId="2" xfId="0" applyFont="1" applyFill="1" applyBorder="1" applyAlignment="1">
      <alignment vertical="center"/>
    </xf>
    <xf numFmtId="0" fontId="30" fillId="0" borderId="0" xfId="0" applyFont="1"/>
    <xf numFmtId="0" fontId="12" fillId="0" borderId="0" xfId="0" applyFont="1" applyFill="1" applyBorder="1" applyAlignment="1">
      <alignment vertical="center"/>
    </xf>
    <xf numFmtId="0" fontId="21" fillId="0" borderId="0" xfId="0" quotePrefix="1" applyFont="1" applyFill="1" applyBorder="1" applyAlignment="1">
      <alignment horizontal="center" vertical="center"/>
    </xf>
    <xf numFmtId="3" fontId="25" fillId="0" borderId="0" xfId="0" applyNumberFormat="1" applyFont="1" applyFill="1" applyBorder="1" applyAlignment="1">
      <alignment horizontal="right"/>
    </xf>
    <xf numFmtId="0" fontId="20" fillId="0" borderId="0" xfId="0" quotePrefix="1" applyFont="1" applyFill="1" applyBorder="1" applyAlignment="1">
      <alignment horizontal="left" vertical="center"/>
    </xf>
    <xf numFmtId="0" fontId="21" fillId="0" borderId="2" xfId="0" quotePrefix="1" applyFont="1" applyFill="1" applyBorder="1" applyAlignment="1">
      <alignment horizontal="left" vertical="center"/>
    </xf>
    <xf numFmtId="3" fontId="25" fillId="0" borderId="0" xfId="0" applyNumberFormat="1" applyFont="1" applyFill="1" applyBorder="1" applyAlignment="1">
      <alignment horizontal="right" vertical="center"/>
    </xf>
    <xf numFmtId="0" fontId="21" fillId="3" borderId="4" xfId="0" applyFont="1" applyFill="1" applyBorder="1" applyAlignment="1">
      <alignment horizontal="center" vertical="center"/>
    </xf>
    <xf numFmtId="0" fontId="2" fillId="0" borderId="0" xfId="0" quotePrefix="1" applyFont="1" applyFill="1" applyBorder="1" applyAlignment="1">
      <alignment horizontal="left" vertical="center"/>
    </xf>
    <xf numFmtId="0" fontId="11" fillId="0" borderId="3" xfId="0" applyFont="1" applyFill="1" applyBorder="1" applyAlignment="1">
      <alignment horizontal="left" vertical="center"/>
    </xf>
    <xf numFmtId="3" fontId="17" fillId="0" borderId="3" xfId="0" applyNumberFormat="1" applyFont="1" applyFill="1" applyBorder="1" applyAlignment="1">
      <alignment horizontal="right" vertical="center"/>
    </xf>
    <xf numFmtId="0" fontId="7" fillId="0" borderId="0" xfId="0" applyFont="1" applyFill="1" applyAlignment="1">
      <alignment vertical="center"/>
    </xf>
    <xf numFmtId="0" fontId="11" fillId="0" borderId="2" xfId="0" applyFont="1" applyFill="1" applyBorder="1" applyAlignment="1">
      <alignment horizontal="left" vertical="center"/>
    </xf>
    <xf numFmtId="3" fontId="17" fillId="0" borderId="2" xfId="0" applyNumberFormat="1" applyFont="1" applyFill="1" applyBorder="1" applyAlignment="1">
      <alignment horizontal="right" vertical="center"/>
    </xf>
    <xf numFmtId="0" fontId="8" fillId="0" borderId="3" xfId="0" applyFont="1" applyFill="1" applyBorder="1" applyAlignment="1">
      <alignment horizontal="left" vertical="center"/>
    </xf>
    <xf numFmtId="3" fontId="9" fillId="0" borderId="3" xfId="0" applyNumberFormat="1" applyFont="1" applyFill="1" applyBorder="1" applyAlignment="1">
      <alignment horizontal="right" vertical="center"/>
    </xf>
    <xf numFmtId="0" fontId="31" fillId="3" borderId="0" xfId="0" quotePrefix="1" applyFont="1" applyFill="1" applyBorder="1" applyAlignment="1">
      <alignment horizontal="left" vertical="center"/>
    </xf>
    <xf numFmtId="0" fontId="31" fillId="3" borderId="0" xfId="0" applyFont="1" applyFill="1" applyBorder="1" applyAlignment="1">
      <alignment vertical="center"/>
    </xf>
    <xf numFmtId="3" fontId="31" fillId="3" borderId="0" xfId="0" applyNumberFormat="1" applyFont="1" applyFill="1" applyBorder="1" applyAlignment="1">
      <alignment vertical="center"/>
    </xf>
    <xf numFmtId="0" fontId="31" fillId="3" borderId="0" xfId="0" applyFont="1" applyFill="1" applyAlignment="1">
      <alignment vertical="center"/>
    </xf>
    <xf numFmtId="164" fontId="9" fillId="0" borderId="0" xfId="0" applyNumberFormat="1" applyFont="1" applyFill="1" applyBorder="1" applyAlignment="1">
      <alignment horizontal="right"/>
    </xf>
    <xf numFmtId="0" fontId="10" fillId="0" borderId="0" xfId="0" applyFont="1" applyFill="1" applyBorder="1" applyAlignment="1"/>
    <xf numFmtId="0" fontId="21" fillId="3" borderId="5" xfId="0" applyFont="1" applyFill="1" applyBorder="1" applyAlignment="1">
      <alignment horizontal="center" vertical="center"/>
    </xf>
    <xf numFmtId="0" fontId="14" fillId="0" borderId="0" xfId="0" quotePrefix="1" applyFont="1" applyFill="1" applyBorder="1" applyAlignment="1">
      <alignment vertical="center"/>
    </xf>
    <xf numFmtId="3" fontId="14" fillId="0" borderId="0" xfId="0" applyNumberFormat="1" applyFont="1" applyFill="1" applyBorder="1" applyAlignment="1">
      <alignment vertical="center"/>
    </xf>
    <xf numFmtId="0" fontId="23" fillId="0" borderId="6" xfId="0" applyFont="1" applyBorder="1" applyAlignment="1">
      <alignment wrapText="1"/>
    </xf>
    <xf numFmtId="4" fontId="23" fillId="0" borderId="6" xfId="0" applyNumberFormat="1" applyFont="1" applyBorder="1" applyAlignment="1">
      <alignment horizontal="right" wrapText="1"/>
    </xf>
    <xf numFmtId="0" fontId="23" fillId="0" borderId="6" xfId="0" applyFont="1" applyBorder="1" applyAlignment="1">
      <alignment horizontal="right" wrapText="1"/>
    </xf>
    <xf numFmtId="4" fontId="32" fillId="0" borderId="6" xfId="0" applyNumberFormat="1" applyFont="1" applyBorder="1" applyAlignment="1">
      <alignment horizontal="right" wrapText="1"/>
    </xf>
    <xf numFmtId="0" fontId="32" fillId="0" borderId="6" xfId="0" applyFont="1" applyBorder="1" applyAlignment="1">
      <alignment horizontal="right" wrapText="1"/>
    </xf>
    <xf numFmtId="0" fontId="33" fillId="0" borderId="6" xfId="0" applyFont="1" applyBorder="1" applyAlignment="1">
      <alignment wrapText="1"/>
    </xf>
    <xf numFmtId="4" fontId="33" fillId="0" borderId="6" xfId="0" applyNumberFormat="1" applyFont="1" applyBorder="1" applyAlignment="1">
      <alignment horizontal="right" wrapText="1"/>
    </xf>
    <xf numFmtId="0" fontId="33" fillId="0" borderId="6" xfId="0" applyFont="1" applyBorder="1" applyAlignment="1">
      <alignment horizontal="right" wrapText="1"/>
    </xf>
    <xf numFmtId="0" fontId="23" fillId="0" borderId="0" xfId="0" applyFont="1" applyBorder="1" applyAlignment="1">
      <alignment wrapText="1"/>
    </xf>
    <xf numFmtId="0" fontId="23" fillId="0" borderId="0" xfId="0" applyFont="1" applyBorder="1" applyAlignment="1">
      <alignment horizontal="right" wrapText="1"/>
    </xf>
    <xf numFmtId="0" fontId="32" fillId="0" borderId="0" xfId="0" applyFont="1" applyBorder="1" applyAlignment="1">
      <alignment horizontal="right" wrapText="1"/>
    </xf>
    <xf numFmtId="0" fontId="33" fillId="0" borderId="0" xfId="0" applyFont="1" applyBorder="1" applyAlignment="1">
      <alignment wrapText="1"/>
    </xf>
    <xf numFmtId="0" fontId="33" fillId="0" borderId="0" xfId="0" applyFont="1" applyBorder="1" applyAlignment="1">
      <alignment horizontal="right" wrapText="1"/>
    </xf>
    <xf numFmtId="0" fontId="23" fillId="0" borderId="7" xfId="0" applyFont="1" applyBorder="1" applyAlignment="1">
      <alignment wrapText="1"/>
    </xf>
    <xf numFmtId="4" fontId="23" fillId="0" borderId="7" xfId="0" applyNumberFormat="1" applyFont="1" applyBorder="1" applyAlignment="1">
      <alignment horizontal="right" wrapText="1"/>
    </xf>
    <xf numFmtId="0" fontId="23" fillId="0" borderId="7" xfId="0" applyFont="1" applyBorder="1" applyAlignment="1">
      <alignment horizontal="right" wrapText="1"/>
    </xf>
    <xf numFmtId="0" fontId="24" fillId="0" borderId="0" xfId="0" applyFont="1" applyFill="1" applyBorder="1" applyAlignment="1">
      <alignment vertical="center"/>
    </xf>
    <xf numFmtId="0" fontId="26" fillId="0" borderId="0" xfId="0" applyFont="1" applyFill="1" applyBorder="1" applyAlignment="1"/>
    <xf numFmtId="4" fontId="23" fillId="0" borderId="0" xfId="0" applyNumberFormat="1" applyFont="1" applyBorder="1" applyAlignment="1">
      <alignment horizontal="right" wrapText="1"/>
    </xf>
    <xf numFmtId="4" fontId="33" fillId="0" borderId="0" xfId="0" applyNumberFormat="1" applyFont="1" applyBorder="1" applyAlignment="1">
      <alignment horizontal="right" wrapText="1"/>
    </xf>
    <xf numFmtId="3" fontId="29" fillId="0" borderId="2" xfId="0" applyNumberFormat="1" applyFont="1" applyFill="1" applyBorder="1" applyAlignment="1">
      <alignment horizontal="right" vertical="center"/>
    </xf>
    <xf numFmtId="4" fontId="32" fillId="0" borderId="0" xfId="0" applyNumberFormat="1" applyFont="1" applyBorder="1" applyAlignment="1">
      <alignment horizontal="right" wrapText="1"/>
    </xf>
    <xf numFmtId="0" fontId="5" fillId="0" borderId="0" xfId="0" quotePrefix="1" applyFont="1" applyFill="1" applyBorder="1" applyAlignment="1">
      <alignment horizontal="left" vertical="center"/>
    </xf>
    <xf numFmtId="0" fontId="21" fillId="3" borderId="4" xfId="0" applyFont="1" applyFill="1" applyBorder="1" applyAlignment="1">
      <alignment horizontal="center" vertical="center" wrapText="1"/>
    </xf>
    <xf numFmtId="3" fontId="5" fillId="0" borderId="3" xfId="0" applyNumberFormat="1" applyFont="1" applyFill="1" applyBorder="1" applyAlignment="1">
      <alignment horizontal="right" vertical="center"/>
    </xf>
    <xf numFmtId="3" fontId="25" fillId="0" borderId="8" xfId="0" applyNumberFormat="1" applyFont="1" applyFill="1" applyBorder="1" applyAlignment="1">
      <alignment horizontal="right"/>
    </xf>
    <xf numFmtId="0" fontId="5" fillId="0" borderId="0" xfId="0" applyFont="1" applyFill="1" applyBorder="1" applyAlignment="1">
      <alignment horizontal="left" vertical="center" wrapText="1"/>
    </xf>
    <xf numFmtId="0" fontId="5" fillId="0" borderId="8" xfId="0" applyFont="1" applyFill="1" applyBorder="1" applyAlignment="1">
      <alignment vertical="center"/>
    </xf>
    <xf numFmtId="0" fontId="21" fillId="3" borderId="5" xfId="0" applyFont="1" applyFill="1" applyBorder="1" applyAlignment="1">
      <alignment horizontal="center" vertical="center" wrapText="1"/>
    </xf>
    <xf numFmtId="0" fontId="5" fillId="0" borderId="8" xfId="0" applyFont="1" applyFill="1" applyBorder="1" applyAlignment="1">
      <alignment horizontal="left" vertical="center"/>
    </xf>
    <xf numFmtId="3" fontId="2" fillId="0" borderId="0" xfId="0" applyNumberFormat="1" applyFont="1" applyFill="1" applyAlignment="1">
      <alignment vertical="center"/>
    </xf>
    <xf numFmtId="0" fontId="35" fillId="0" borderId="0" xfId="0" quotePrefix="1" applyFont="1" applyFill="1" applyBorder="1" applyAlignment="1">
      <alignment horizontal="left" vertical="center" indent="8"/>
    </xf>
    <xf numFmtId="0" fontId="4" fillId="0" borderId="9" xfId="0" applyFont="1" applyFill="1" applyBorder="1" applyAlignment="1">
      <alignment horizontal="left" vertical="center"/>
    </xf>
    <xf numFmtId="3" fontId="5" fillId="0" borderId="9" xfId="0" applyNumberFormat="1" applyFont="1" applyFill="1" applyBorder="1" applyAlignment="1">
      <alignment horizontal="right" vertical="center"/>
    </xf>
    <xf numFmtId="3" fontId="29" fillId="0" borderId="9" xfId="0"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3" fontId="5" fillId="4" borderId="3" xfId="0" applyNumberFormat="1" applyFont="1" applyFill="1" applyBorder="1" applyAlignment="1">
      <alignment horizontal="right" vertical="center"/>
    </xf>
    <xf numFmtId="49" fontId="21" fillId="3" borderId="4" xfId="0" applyNumberFormat="1" applyFont="1" applyFill="1" applyBorder="1" applyAlignment="1">
      <alignment horizontal="center" vertical="center" wrapText="1"/>
    </xf>
    <xf numFmtId="166" fontId="2" fillId="0" borderId="0" xfId="0" applyNumberFormat="1" applyFont="1" applyFill="1" applyAlignment="1">
      <alignment vertical="center"/>
    </xf>
    <xf numFmtId="3" fontId="25" fillId="0" borderId="10" xfId="0" applyNumberFormat="1" applyFont="1" applyFill="1" applyBorder="1" applyAlignment="1">
      <alignment horizontal="right" vertical="center"/>
    </xf>
    <xf numFmtId="167" fontId="23" fillId="0" borderId="0" xfId="0" applyNumberFormat="1" applyFont="1" applyFill="1" applyAlignment="1">
      <alignment vertical="center"/>
    </xf>
    <xf numFmtId="3" fontId="26" fillId="0" borderId="0" xfId="0" applyNumberFormat="1" applyFont="1" applyFill="1" applyAlignment="1"/>
    <xf numFmtId="3" fontId="24" fillId="0" borderId="0" xfId="0" applyNumberFormat="1" applyFont="1" applyFill="1" applyAlignment="1">
      <alignment vertical="center"/>
    </xf>
    <xf numFmtId="3" fontId="2" fillId="0" borderId="0" xfId="9" applyNumberFormat="1" applyFont="1" applyAlignment="1">
      <alignment vertical="center"/>
    </xf>
    <xf numFmtId="3" fontId="2" fillId="0" borderId="0" xfId="9" applyNumberFormat="1" applyFont="1" applyBorder="1" applyAlignment="1">
      <alignment vertical="center"/>
    </xf>
    <xf numFmtId="3" fontId="6" fillId="0" borderId="0" xfId="9" applyNumberFormat="1" applyFont="1" applyAlignment="1">
      <alignment vertical="center"/>
    </xf>
    <xf numFmtId="3" fontId="5" fillId="0" borderId="0" xfId="9" applyNumberFormat="1" applyFont="1" applyBorder="1" applyAlignment="1">
      <alignment horizontal="right" vertical="center"/>
    </xf>
    <xf numFmtId="3" fontId="4" fillId="0" borderId="0" xfId="9" applyNumberFormat="1" applyFont="1" applyBorder="1" applyAlignment="1">
      <alignment horizontal="left" vertical="center"/>
    </xf>
    <xf numFmtId="3" fontId="31" fillId="0" borderId="0" xfId="9" applyNumberFormat="1" applyFont="1" applyAlignment="1">
      <alignment vertical="center"/>
    </xf>
    <xf numFmtId="3" fontId="9" fillId="0" borderId="0" xfId="9" applyNumberFormat="1" applyFont="1" applyBorder="1" applyAlignment="1">
      <alignment horizontal="right" vertical="center"/>
    </xf>
    <xf numFmtId="3" fontId="10" fillId="0" borderId="0" xfId="9" applyNumberFormat="1" applyFont="1" applyAlignment="1">
      <alignment vertical="center"/>
    </xf>
    <xf numFmtId="3" fontId="36" fillId="0" borderId="0" xfId="9" applyNumberFormat="1" applyFont="1" applyBorder="1" applyAlignment="1">
      <alignment horizontal="right" vertical="center"/>
    </xf>
    <xf numFmtId="3" fontId="37" fillId="0" borderId="0" xfId="9" applyNumberFormat="1" applyFont="1" applyBorder="1" applyAlignment="1">
      <alignment horizontal="right" vertical="center"/>
    </xf>
    <xf numFmtId="3" fontId="9" fillId="0" borderId="12" xfId="9" applyNumberFormat="1" applyFont="1" applyBorder="1" applyAlignment="1">
      <alignment horizontal="right" vertical="center"/>
    </xf>
    <xf numFmtId="3" fontId="9" fillId="0" borderId="12" xfId="9" applyNumberFormat="1" applyFont="1" applyFill="1" applyBorder="1" applyAlignment="1">
      <alignment horizontal="right" vertical="center"/>
    </xf>
    <xf numFmtId="3" fontId="8" fillId="0" borderId="12" xfId="9" applyNumberFormat="1" applyFont="1" applyBorder="1" applyAlignment="1">
      <alignment horizontal="left" vertical="center"/>
    </xf>
    <xf numFmtId="3" fontId="5" fillId="0" borderId="12" xfId="9" applyNumberFormat="1" applyFont="1" applyBorder="1" applyAlignment="1">
      <alignment horizontal="right" vertical="center"/>
    </xf>
    <xf numFmtId="3" fontId="4" fillId="0" borderId="12" xfId="9" applyNumberFormat="1" applyFont="1" applyBorder="1" applyAlignment="1">
      <alignment horizontal="left" vertical="center"/>
    </xf>
    <xf numFmtId="3" fontId="5" fillId="0" borderId="0" xfId="9" applyNumberFormat="1" applyFont="1" applyFill="1" applyBorder="1" applyAlignment="1">
      <alignment horizontal="right" vertical="center"/>
    </xf>
    <xf numFmtId="3" fontId="6" fillId="0" borderId="0" xfId="9" applyNumberFormat="1" applyFont="1" applyFill="1" applyAlignment="1">
      <alignment vertical="center"/>
    </xf>
    <xf numFmtId="3" fontId="2" fillId="0" borderId="0" xfId="9" applyNumberFormat="1" applyFont="1" applyFill="1" applyAlignment="1">
      <alignment vertical="center"/>
    </xf>
    <xf numFmtId="3" fontId="38" fillId="0" borderId="0" xfId="9" applyNumberFormat="1" applyFont="1" applyBorder="1" applyAlignment="1">
      <alignment horizontal="left" vertical="center"/>
    </xf>
    <xf numFmtId="3" fontId="5" fillId="0" borderId="12" xfId="9" applyNumberFormat="1" applyFont="1" applyFill="1" applyBorder="1" applyAlignment="1">
      <alignment horizontal="right" vertical="center"/>
    </xf>
    <xf numFmtId="3" fontId="4" fillId="0" borderId="0" xfId="9" applyNumberFormat="1" applyFont="1" applyFill="1" applyBorder="1" applyAlignment="1">
      <alignment horizontal="left" vertical="center"/>
    </xf>
    <xf numFmtId="168" fontId="5" fillId="0" borderId="12" xfId="9" applyNumberFormat="1" applyFont="1" applyBorder="1" applyAlignment="1">
      <alignment horizontal="right" vertical="center"/>
    </xf>
    <xf numFmtId="3" fontId="5" fillId="4" borderId="0" xfId="9" applyNumberFormat="1" applyFont="1" applyFill="1" applyBorder="1" applyAlignment="1">
      <alignment horizontal="right" vertical="center"/>
    </xf>
    <xf numFmtId="3" fontId="4" fillId="4" borderId="0" xfId="9" applyNumberFormat="1" applyFont="1" applyFill="1" applyBorder="1" applyAlignment="1">
      <alignment horizontal="left" vertical="center"/>
    </xf>
    <xf numFmtId="168" fontId="5" fillId="0" borderId="0" xfId="9" applyNumberFormat="1" applyFont="1" applyBorder="1" applyAlignment="1">
      <alignment horizontal="right" vertical="center"/>
    </xf>
    <xf numFmtId="3" fontId="39" fillId="0" borderId="12" xfId="9" applyNumberFormat="1" applyFont="1" applyBorder="1" applyAlignment="1">
      <alignment horizontal="right" vertical="center"/>
    </xf>
    <xf numFmtId="3" fontId="39" fillId="0" borderId="12" xfId="9" applyNumberFormat="1" applyFont="1" applyFill="1" applyBorder="1" applyAlignment="1">
      <alignment horizontal="right" vertical="center"/>
    </xf>
    <xf numFmtId="3" fontId="38" fillId="0" borderId="12" xfId="9" applyNumberFormat="1" applyFont="1" applyBorder="1" applyAlignment="1">
      <alignment horizontal="left" vertical="center"/>
    </xf>
    <xf numFmtId="3" fontId="5" fillId="0" borderId="11" xfId="9" applyNumberFormat="1" applyFont="1" applyBorder="1" applyAlignment="1">
      <alignment horizontal="right" vertical="center"/>
    </xf>
    <xf numFmtId="3" fontId="5" fillId="0" borderId="0" xfId="9" applyNumberFormat="1" applyFont="1" applyAlignment="1">
      <alignment vertical="center"/>
    </xf>
    <xf numFmtId="1" fontId="5" fillId="0" borderId="0" xfId="11" applyNumberFormat="1" applyFont="1" applyBorder="1" applyAlignment="1">
      <alignment horizontal="right" vertical="center"/>
    </xf>
    <xf numFmtId="1" fontId="5" fillId="0" borderId="0" xfId="11" applyNumberFormat="1" applyFont="1" applyFill="1" applyBorder="1" applyAlignment="1">
      <alignment horizontal="right" vertical="center"/>
    </xf>
    <xf numFmtId="0" fontId="3" fillId="0" borderId="0" xfId="10" applyFont="1" applyFill="1" applyBorder="1" applyAlignment="1">
      <alignment vertical="center"/>
    </xf>
    <xf numFmtId="49" fontId="21" fillId="3" borderId="4" xfId="10" applyNumberFormat="1" applyFont="1" applyFill="1" applyBorder="1" applyAlignment="1">
      <alignment horizontal="center" vertical="center" wrapText="1"/>
    </xf>
    <xf numFmtId="0" fontId="21" fillId="3" borderId="4" xfId="10" applyFont="1" applyFill="1" applyBorder="1" applyAlignment="1">
      <alignment horizontal="center" vertical="center" wrapText="1"/>
    </xf>
    <xf numFmtId="0" fontId="21" fillId="3" borderId="4" xfId="10" quotePrefix="1" applyFont="1" applyFill="1" applyBorder="1" applyAlignment="1">
      <alignment horizontal="center" vertical="center"/>
    </xf>
    <xf numFmtId="0" fontId="21" fillId="3" borderId="4" xfId="10" applyFont="1" applyFill="1" applyBorder="1" applyAlignment="1">
      <alignment horizontal="center" vertical="center"/>
    </xf>
    <xf numFmtId="0" fontId="21" fillId="3" borderId="4" xfId="10" applyFont="1" applyFill="1" applyBorder="1" applyAlignment="1">
      <alignment vertical="center"/>
    </xf>
    <xf numFmtId="164" fontId="20" fillId="2" borderId="0" xfId="12" applyNumberFormat="1" applyFont="1" applyFill="1" applyBorder="1" applyAlignment="1">
      <alignment horizontal="left" vertical="center"/>
    </xf>
    <xf numFmtId="0" fontId="19" fillId="2" borderId="0" xfId="10" quotePrefix="1" applyFont="1" applyFill="1" applyBorder="1" applyAlignment="1">
      <alignment horizontal="left" vertical="center"/>
    </xf>
    <xf numFmtId="0" fontId="2" fillId="0" borderId="0" xfId="10" applyFont="1" applyAlignment="1">
      <alignment vertical="center"/>
    </xf>
    <xf numFmtId="3" fontId="2" fillId="0" borderId="0" xfId="10" applyNumberFormat="1" applyFont="1" applyAlignment="1">
      <alignment vertical="center"/>
    </xf>
    <xf numFmtId="0" fontId="14" fillId="0" borderId="0" xfId="10" applyFont="1" applyAlignment="1">
      <alignment vertical="center"/>
    </xf>
    <xf numFmtId="0" fontId="35" fillId="0" borderId="0" xfId="10" quotePrefix="1" applyFont="1" applyBorder="1" applyAlignment="1">
      <alignment horizontal="left" vertical="center" indent="8"/>
    </xf>
    <xf numFmtId="3" fontId="40" fillId="0" borderId="0" xfId="9" quotePrefix="1" applyNumberFormat="1" applyFont="1" applyBorder="1" applyAlignment="1">
      <alignment horizontal="left" vertical="center"/>
    </xf>
    <xf numFmtId="3" fontId="4" fillId="0" borderId="0" xfId="9" applyNumberFormat="1" applyFont="1" applyBorder="1" applyAlignment="1">
      <alignment vertical="center"/>
    </xf>
    <xf numFmtId="3" fontId="39" fillId="0" borderId="0" xfId="9" applyNumberFormat="1" applyFont="1" applyFill="1" applyBorder="1" applyAlignment="1">
      <alignment horizontal="right" vertical="center"/>
    </xf>
    <xf numFmtId="3" fontId="41" fillId="0" borderId="0" xfId="9" applyNumberFormat="1" applyFont="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indent="2"/>
    </xf>
    <xf numFmtId="0" fontId="4" fillId="0" borderId="0" xfId="0" quotePrefix="1" applyFont="1" applyFill="1" applyBorder="1" applyAlignment="1">
      <alignment horizontal="left" vertical="center" indent="2"/>
    </xf>
    <xf numFmtId="0" fontId="8" fillId="0" borderId="0" xfId="0" applyFont="1" applyFill="1" applyBorder="1" applyAlignment="1">
      <alignment horizontal="left" vertical="center" indent="2"/>
    </xf>
    <xf numFmtId="0" fontId="22" fillId="0" borderId="0" xfId="0" applyFont="1" applyFill="1" applyBorder="1" applyAlignment="1">
      <alignment vertical="top" wrapText="1"/>
    </xf>
    <xf numFmtId="169" fontId="6" fillId="0" borderId="0" xfId="9" applyNumberFormat="1" applyFont="1" applyAlignment="1">
      <alignment vertical="center"/>
    </xf>
    <xf numFmtId="4" fontId="24" fillId="0" borderId="0" xfId="0" applyNumberFormat="1" applyFont="1" applyFill="1" applyAlignment="1">
      <alignment vertical="center"/>
    </xf>
    <xf numFmtId="4" fontId="26" fillId="0" borderId="0" xfId="0" applyNumberFormat="1" applyFont="1" applyFill="1" applyAlignment="1">
      <alignment vertical="center"/>
    </xf>
    <xf numFmtId="4" fontId="26" fillId="0" borderId="0" xfId="0" applyNumberFormat="1" applyFont="1" applyFill="1" applyAlignment="1"/>
    <xf numFmtId="165" fontId="19" fillId="0" borderId="0" xfId="0" applyNumberFormat="1" applyFont="1" applyFill="1" applyAlignment="1">
      <alignment horizontal="center" vertical="center"/>
    </xf>
    <xf numFmtId="0" fontId="5" fillId="0" borderId="0" xfId="0" applyFont="1" applyFill="1" applyBorder="1" applyAlignment="1">
      <alignment horizontal="left" vertical="center" wrapText="1"/>
    </xf>
  </cellXfs>
  <cellStyles count="13">
    <cellStyle name="arial" xfId="1"/>
    <cellStyle name="Millares [0] 2" xfId="11"/>
    <cellStyle name="Millares 2" xfId="2"/>
    <cellStyle name="Normal" xfId="0" builtinId="0"/>
    <cellStyle name="Normal 2" xfId="3"/>
    <cellStyle name="Normal 3" xfId="10"/>
    <cellStyle name="Normal_1-Recursos no financieros" xfId="4"/>
    <cellStyle name="Normal_1-Recursos no financieros 2" xfId="12"/>
    <cellStyle name="Normal_Finanzas públicas" xfId="9"/>
    <cellStyle name="num1esp" xfId="5"/>
    <cellStyle name="num2esp" xfId="6"/>
    <cellStyle name="rayas" xfId="7"/>
    <cellStyle name="Título" xfId="8" builtinId="1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2428875</xdr:colOff>
      <xdr:row>15</xdr:row>
      <xdr:rowOff>104775</xdr:rowOff>
    </xdr:from>
    <xdr:to>
      <xdr:col>20</xdr:col>
      <xdr:colOff>104775</xdr:colOff>
      <xdr:row>23</xdr:row>
      <xdr:rowOff>66675</xdr:rowOff>
    </xdr:to>
    <xdr:sp macro="" textlink="">
      <xdr:nvSpPr>
        <xdr:cNvPr id="2" name="1 CuadroTexto"/>
        <xdr:cNvSpPr txBox="1"/>
      </xdr:nvSpPr>
      <xdr:spPr>
        <a:xfrm>
          <a:off x="2428875" y="2838450"/>
          <a:ext cx="594360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2010-2018 Prórrogado</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Presupuestos Generales del Estado Consolidados</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2019</a:t>
          </a:r>
          <a:endParaRPr lang="es-ES" sz="2400" baseline="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2247900</xdr:colOff>
      <xdr:row>14</xdr:row>
      <xdr:rowOff>85726</xdr:rowOff>
    </xdr:from>
    <xdr:to>
      <xdr:col>11</xdr:col>
      <xdr:colOff>428625</xdr:colOff>
      <xdr:row>18</xdr:row>
      <xdr:rowOff>85726</xdr:rowOff>
    </xdr:to>
    <xdr:sp macro="" textlink="">
      <xdr:nvSpPr>
        <xdr:cNvPr id="3" name="2 Medio marco"/>
        <xdr:cNvSpPr/>
      </xdr:nvSpPr>
      <xdr:spPr>
        <a:xfrm>
          <a:off x="2247900" y="2657476"/>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ES"/>
        </a:p>
      </xdr:txBody>
    </xdr:sp>
    <xdr:clientData/>
  </xdr:twoCellAnchor>
  <xdr:twoCellAnchor>
    <xdr:from>
      <xdr:col>0</xdr:col>
      <xdr:colOff>0</xdr:colOff>
      <xdr:row>1</xdr:row>
      <xdr:rowOff>0</xdr:rowOff>
    </xdr:from>
    <xdr:to>
      <xdr:col>11</xdr:col>
      <xdr:colOff>542925</xdr:colOff>
      <xdr:row>5</xdr:row>
      <xdr:rowOff>57150</xdr:rowOff>
    </xdr:to>
    <xdr:pic>
      <xdr:nvPicPr>
        <xdr:cNvPr id="7" name="Imagen 6" descr="MHA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4325"/>
          <a:ext cx="29813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10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619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7217"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8241"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9265"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342900</xdr:rowOff>
    </xdr:to>
    <xdr:pic>
      <xdr:nvPicPr>
        <xdr:cNvPr id="1074"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121"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600075" cy="622300"/>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showGridLines="0" tabSelected="1" zoomScaleNormal="100" workbookViewId="0">
      <pane xSplit="8" ySplit="2" topLeftCell="L3" activePane="bottomRight" state="frozen"/>
      <selection activeCell="Y20" sqref="Y20"/>
      <selection pane="topRight" activeCell="Y20" sqref="Y20"/>
      <selection pane="bottomLeft" activeCell="Y20" sqref="Y20"/>
      <selection pane="bottomRight" activeCell="O8" sqref="O8"/>
    </sheetView>
  </sheetViews>
  <sheetFormatPr baseColWidth="10" defaultColWidth="11.42578125" defaultRowHeight="12.75"/>
  <cols>
    <col min="1" max="1" width="36.5703125" style="13" customWidth="1"/>
    <col min="2" max="11" width="9.7109375" style="12" hidden="1" customWidth="1"/>
    <col min="12" max="21" width="9.7109375" style="12" customWidth="1"/>
    <col min="22" max="16384" width="11.42578125" style="12"/>
  </cols>
  <sheetData>
    <row r="1" spans="1:1" ht="24.95" customHeight="1">
      <c r="A1" s="11"/>
    </row>
    <row r="2" spans="1:1" ht="24.95" customHeight="1">
      <c r="A2" s="11"/>
    </row>
    <row r="31" spans="18:20" ht="15.75">
      <c r="R31" s="173" t="s">
        <v>433</v>
      </c>
      <c r="S31" s="173"/>
      <c r="T31" s="173"/>
    </row>
  </sheetData>
  <mergeCells count="1">
    <mergeCell ref="R31:T31"/>
  </mergeCells>
  <printOptions horizontalCentered="1"/>
  <pageMargins left="0.75" right="0.75" top="0.39370078740157483" bottom="1" header="0" footer="0"/>
  <pageSetup paperSize="9" scale="98"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AB27"/>
  <sheetViews>
    <sheetView showGridLines="0" zoomScaleNormal="100" workbookViewId="0">
      <pane xSplit="8" ySplit="6" topLeftCell="Q7" activePane="bottomRight" state="frozen"/>
      <selection activeCell="Y20" sqref="Y20"/>
      <selection pane="topRight" activeCell="Y20" sqref="Y20"/>
      <selection pane="bottomLeft" activeCell="Y20" sqref="Y20"/>
      <selection pane="bottomRight" activeCell="AB11" sqref="AB11"/>
    </sheetView>
  </sheetViews>
  <sheetFormatPr baseColWidth="10" defaultColWidth="11.42578125" defaultRowHeight="12.75"/>
  <cols>
    <col min="1" max="1" width="42.140625" style="13" customWidth="1"/>
    <col min="2" max="13" width="9.7109375" style="12" hidden="1" customWidth="1"/>
    <col min="14" max="14" width="5.85546875" style="12" hidden="1" customWidth="1"/>
    <col min="15" max="15" width="10.140625" style="12" hidden="1" customWidth="1"/>
    <col min="16" max="16" width="9.7109375" style="12" hidden="1" customWidth="1"/>
    <col min="17" max="26" width="9.7109375" style="12" customWidth="1"/>
    <col min="27" max="16384" width="11.42578125" style="12"/>
  </cols>
  <sheetData>
    <row r="1" spans="1:28" ht="24.95" customHeight="1">
      <c r="A1" s="104" t="s">
        <v>110</v>
      </c>
    </row>
    <row r="2" spans="1:28" ht="24.95" customHeight="1">
      <c r="A2" s="104" t="s">
        <v>111</v>
      </c>
    </row>
    <row r="3" spans="1:28" ht="24.95" customHeight="1">
      <c r="A3" s="12"/>
    </row>
    <row r="4" spans="1:28" ht="20.100000000000001" customHeight="1">
      <c r="A4" s="41" t="s">
        <v>41</v>
      </c>
      <c r="B4" s="41"/>
      <c r="C4" s="41"/>
      <c r="D4" s="41"/>
      <c r="E4" s="41"/>
      <c r="F4" s="41"/>
      <c r="G4" s="41"/>
      <c r="H4" s="41"/>
      <c r="I4" s="41"/>
      <c r="J4" s="41"/>
      <c r="K4" s="41"/>
      <c r="L4" s="41"/>
      <c r="M4" s="41"/>
      <c r="N4" s="41"/>
      <c r="O4" s="41"/>
      <c r="P4" s="41"/>
      <c r="Q4" s="41"/>
      <c r="R4" s="41"/>
      <c r="S4" s="41"/>
      <c r="T4" s="41"/>
      <c r="U4" s="41"/>
      <c r="V4" s="41"/>
      <c r="W4" s="41"/>
      <c r="X4" s="41"/>
      <c r="Y4" s="41"/>
      <c r="Z4" s="41"/>
    </row>
    <row r="5" spans="1:28" ht="15.75" thickBot="1">
      <c r="A5" s="42" t="s">
        <v>0</v>
      </c>
      <c r="B5" s="42"/>
      <c r="C5" s="42"/>
      <c r="D5" s="42"/>
      <c r="E5" s="42"/>
      <c r="F5" s="42"/>
      <c r="G5" s="42"/>
      <c r="H5" s="42"/>
      <c r="I5" s="42"/>
      <c r="J5" s="42"/>
      <c r="K5" s="42"/>
      <c r="L5" s="42"/>
      <c r="M5" s="42"/>
      <c r="N5" s="42"/>
      <c r="O5" s="42"/>
      <c r="P5" s="42"/>
      <c r="Q5" s="42"/>
      <c r="R5" s="42"/>
      <c r="S5" s="42"/>
      <c r="T5" s="42"/>
      <c r="U5" s="42"/>
      <c r="V5" s="42"/>
      <c r="W5" s="42"/>
      <c r="X5" s="42"/>
      <c r="Y5" s="42"/>
      <c r="Z5" s="42"/>
    </row>
    <row r="6" spans="1:28" s="15" customFormat="1" ht="23.25" customHeight="1" thickBot="1">
      <c r="A6" s="43" t="s">
        <v>26</v>
      </c>
      <c r="B6" s="44" t="s">
        <v>1</v>
      </c>
      <c r="C6" s="44" t="s">
        <v>25</v>
      </c>
      <c r="D6" s="44" t="s">
        <v>2</v>
      </c>
      <c r="E6" s="44" t="s">
        <v>3</v>
      </c>
      <c r="F6" s="44" t="s">
        <v>4</v>
      </c>
      <c r="G6" s="44" t="s">
        <v>5</v>
      </c>
      <c r="H6" s="44" t="s">
        <v>6</v>
      </c>
      <c r="I6" s="44" t="s">
        <v>12</v>
      </c>
      <c r="J6" s="44" t="s">
        <v>7</v>
      </c>
      <c r="K6" s="44" t="s">
        <v>8</v>
      </c>
      <c r="L6" s="44" t="s">
        <v>55</v>
      </c>
      <c r="M6" s="55">
        <v>2006</v>
      </c>
      <c r="N6" s="55">
        <v>2007</v>
      </c>
      <c r="O6" s="55" t="s">
        <v>116</v>
      </c>
      <c r="P6" s="55">
        <v>2009</v>
      </c>
      <c r="Q6" s="55">
        <v>2010</v>
      </c>
      <c r="R6" s="55">
        <v>2011</v>
      </c>
      <c r="S6" s="96">
        <v>2012</v>
      </c>
      <c r="T6" s="96" t="s">
        <v>119</v>
      </c>
      <c r="U6" s="96" t="s">
        <v>109</v>
      </c>
      <c r="V6" s="96">
        <v>2015</v>
      </c>
      <c r="W6" s="96">
        <v>2016</v>
      </c>
      <c r="X6" s="110" t="s">
        <v>114</v>
      </c>
      <c r="Y6" s="110" t="s">
        <v>115</v>
      </c>
      <c r="Z6" s="110" t="s">
        <v>434</v>
      </c>
    </row>
    <row r="7" spans="1:28" s="17" customFormat="1" ht="20.100000000000001" customHeight="1">
      <c r="A7" s="16" t="s">
        <v>27</v>
      </c>
      <c r="B7" s="30">
        <v>24807.507843207964</v>
      </c>
      <c r="C7" s="30">
        <v>25608.218239515343</v>
      </c>
      <c r="D7" s="30">
        <v>26027.039534576226</v>
      </c>
      <c r="E7" s="30">
        <v>25982.726912120012</v>
      </c>
      <c r="F7" s="30">
        <v>26642.644212854448</v>
      </c>
      <c r="G7" s="30">
        <v>25478.357554121139</v>
      </c>
      <c r="H7" s="30">
        <v>25335.238541704231</v>
      </c>
      <c r="I7" s="30">
        <v>26759.22</v>
      </c>
      <c r="J7" s="30">
        <v>23041.38</v>
      </c>
      <c r="K7" s="30">
        <v>24216.49</v>
      </c>
      <c r="L7" s="30">
        <v>25351.20508</v>
      </c>
      <c r="M7" s="30">
        <v>27391.47</v>
      </c>
      <c r="N7" s="30">
        <v>29265.863170000001</v>
      </c>
      <c r="O7" s="30">
        <v>31317.849470000001</v>
      </c>
      <c r="P7" s="30">
        <v>33072.85</v>
      </c>
      <c r="Q7" s="30">
        <v>33818.062960000003</v>
      </c>
      <c r="R7" s="30">
        <v>32919.243849999999</v>
      </c>
      <c r="S7" s="30">
        <v>33150.733549999997</v>
      </c>
      <c r="T7" s="30">
        <v>33294.512309999998</v>
      </c>
      <c r="U7" s="30">
        <v>21304.104899999998</v>
      </c>
      <c r="V7" s="30">
        <v>21598.4476</v>
      </c>
      <c r="W7" s="30">
        <v>22433.79723</v>
      </c>
      <c r="X7" s="30">
        <v>22080.21833</v>
      </c>
      <c r="Y7" s="30">
        <v>22504.802510000001</v>
      </c>
      <c r="Z7" s="30">
        <v>22500.199079999999</v>
      </c>
    </row>
    <row r="8" spans="1:28" s="17" customFormat="1" ht="20.100000000000001" customHeight="1">
      <c r="A8" s="18" t="s">
        <v>28</v>
      </c>
      <c r="B8" s="30">
        <v>6647.9210991309365</v>
      </c>
      <c r="C8" s="30">
        <v>6486.477227651365</v>
      </c>
      <c r="D8" s="30">
        <v>6065.1016311468511</v>
      </c>
      <c r="E8" s="30">
        <v>6502.1636435757819</v>
      </c>
      <c r="F8" s="30">
        <v>6959.4677436803577</v>
      </c>
      <c r="G8" s="30">
        <v>7317.3464113567252</v>
      </c>
      <c r="H8" s="30">
        <v>7789.8861683074301</v>
      </c>
      <c r="I8" s="30">
        <v>8542.4500000000007</v>
      </c>
      <c r="J8" s="30">
        <v>6036.3</v>
      </c>
      <c r="K8" s="30">
        <v>6512.37</v>
      </c>
      <c r="L8" s="30">
        <v>6777.4973099999997</v>
      </c>
      <c r="M8" s="30">
        <v>7258.67</v>
      </c>
      <c r="N8" s="30">
        <v>7879.8515699999998</v>
      </c>
      <c r="O8" s="30">
        <v>8372.6119400000007</v>
      </c>
      <c r="P8" s="30">
        <v>8537.65</v>
      </c>
      <c r="Q8" s="30">
        <v>8541.50216</v>
      </c>
      <c r="R8" s="30">
        <v>8011.1887300000008</v>
      </c>
      <c r="S8" s="30">
        <v>7619.8167000000003</v>
      </c>
      <c r="T8" s="30">
        <v>7179.4319500000001</v>
      </c>
      <c r="U8" s="30">
        <v>7619.3513300000004</v>
      </c>
      <c r="V8" s="30">
        <v>7869.4813100000001</v>
      </c>
      <c r="W8" s="30">
        <v>7806.5389400000004</v>
      </c>
      <c r="X8" s="30">
        <v>7805.5889500000003</v>
      </c>
      <c r="Y8" s="30">
        <v>8143.7488300000005</v>
      </c>
      <c r="Z8" s="30">
        <v>8139.8153499999999</v>
      </c>
    </row>
    <row r="9" spans="1:28" s="17" customFormat="1" ht="20.100000000000001" customHeight="1">
      <c r="A9" s="18" t="s">
        <v>29</v>
      </c>
      <c r="B9" s="30">
        <v>17804.893440553893</v>
      </c>
      <c r="C9" s="30">
        <v>20521.756638178693</v>
      </c>
      <c r="D9" s="30">
        <v>20906.08584856899</v>
      </c>
      <c r="E9" s="30">
        <v>19295.211135552272</v>
      </c>
      <c r="F9" s="30">
        <v>18401.74654117534</v>
      </c>
      <c r="G9" s="30">
        <v>16961.649417619272</v>
      </c>
      <c r="H9" s="30">
        <v>17152.39262918755</v>
      </c>
      <c r="I9" s="30">
        <v>17841.830000000002</v>
      </c>
      <c r="J9" s="30">
        <v>19763.53</v>
      </c>
      <c r="K9" s="30">
        <v>19148.09</v>
      </c>
      <c r="L9" s="30">
        <v>19333.88</v>
      </c>
      <c r="M9" s="30">
        <v>17485.37</v>
      </c>
      <c r="N9" s="30">
        <v>15992.813249999999</v>
      </c>
      <c r="O9" s="30">
        <v>16679.273730000001</v>
      </c>
      <c r="P9" s="30">
        <v>17474.09</v>
      </c>
      <c r="Q9" s="30">
        <v>23267.388159999999</v>
      </c>
      <c r="R9" s="30">
        <v>27461.277030000001</v>
      </c>
      <c r="S9" s="30">
        <v>28913.878260000001</v>
      </c>
      <c r="T9" s="30">
        <v>38660.231630000002</v>
      </c>
      <c r="U9" s="30">
        <v>36661.797599999998</v>
      </c>
      <c r="V9" s="30">
        <v>35560.177499999998</v>
      </c>
      <c r="W9" s="30">
        <v>33554.520770000003</v>
      </c>
      <c r="X9" s="30">
        <v>32266.236730000001</v>
      </c>
      <c r="Y9" s="30">
        <v>31602.252559999997</v>
      </c>
      <c r="Z9" s="30">
        <v>31602.244629999997</v>
      </c>
    </row>
    <row r="10" spans="1:28" s="17" customFormat="1" ht="20.100000000000001" customHeight="1">
      <c r="A10" s="18" t="s">
        <v>30</v>
      </c>
      <c r="B10" s="30">
        <v>105788.81035664059</v>
      </c>
      <c r="C10" s="30">
        <v>109125.88799538423</v>
      </c>
      <c r="D10" s="30">
        <v>113189.53517723847</v>
      </c>
      <c r="E10" s="30">
        <v>116077.59667279699</v>
      </c>
      <c r="F10" s="30">
        <v>122783.20291370669</v>
      </c>
      <c r="G10" s="30">
        <v>132972.59985816115</v>
      </c>
      <c r="H10" s="30">
        <v>141997.07908117271</v>
      </c>
      <c r="I10" s="30">
        <v>134880.28</v>
      </c>
      <c r="J10" s="30">
        <v>143658.22</v>
      </c>
      <c r="K10" s="30">
        <v>150731</v>
      </c>
      <c r="L10" s="30">
        <v>162516.24072999999</v>
      </c>
      <c r="M10" s="30">
        <v>176637.71</v>
      </c>
      <c r="N10" s="30">
        <v>191407.78017000001</v>
      </c>
      <c r="O10" s="30">
        <v>206243.75</v>
      </c>
      <c r="P10" s="30">
        <v>217321.23</v>
      </c>
      <c r="Q10" s="30">
        <v>233489.63362000001</v>
      </c>
      <c r="R10" s="30">
        <v>208362.89655999999</v>
      </c>
      <c r="S10" s="30">
        <v>214054.86388999998</v>
      </c>
      <c r="T10" s="30">
        <v>213271.05776</v>
      </c>
      <c r="U10" s="30">
        <v>231125.777</v>
      </c>
      <c r="V10" s="30">
        <v>231583.144</v>
      </c>
      <c r="W10" s="30">
        <v>233681.07522</v>
      </c>
      <c r="X10" s="30">
        <v>237875.95428000001</v>
      </c>
      <c r="Y10" s="30">
        <v>246423.67442</v>
      </c>
      <c r="Z10" s="30">
        <v>246397.65253999998</v>
      </c>
    </row>
    <row r="11" spans="1:28" s="17" customFormat="1" ht="20.100000000000001" customHeight="1">
      <c r="A11" s="20" t="s">
        <v>31</v>
      </c>
      <c r="B11" s="32">
        <f>SUM(B7:B10)</f>
        <v>155049.13273953338</v>
      </c>
      <c r="C11" s="32">
        <f>SUM(C7:C10)</f>
        <v>161742.34010072963</v>
      </c>
      <c r="D11" s="32">
        <f t="shared" ref="D11:N11" si="0">SUM(D7:D10)</f>
        <v>166187.76219153055</v>
      </c>
      <c r="E11" s="32">
        <f t="shared" si="0"/>
        <v>167857.69836404506</v>
      </c>
      <c r="F11" s="32">
        <f t="shared" si="0"/>
        <v>174787.06141141683</v>
      </c>
      <c r="G11" s="32">
        <f t="shared" si="0"/>
        <v>182729.95324125828</v>
      </c>
      <c r="H11" s="32">
        <f t="shared" si="0"/>
        <v>192274.5964203719</v>
      </c>
      <c r="I11" s="32">
        <f t="shared" si="0"/>
        <v>188023.78</v>
      </c>
      <c r="J11" s="32">
        <f t="shared" si="0"/>
        <v>192499.43</v>
      </c>
      <c r="K11" s="32">
        <f t="shared" si="0"/>
        <v>200607.95</v>
      </c>
      <c r="L11" s="32">
        <f t="shared" si="0"/>
        <v>213978.82311999999</v>
      </c>
      <c r="M11" s="32">
        <f t="shared" si="0"/>
        <v>228773.21999999997</v>
      </c>
      <c r="N11" s="32">
        <f t="shared" si="0"/>
        <v>244546.30816000002</v>
      </c>
      <c r="O11" s="32">
        <f t="shared" ref="O11:T11" si="1">SUM(O7:O10)</f>
        <v>262613.48514</v>
      </c>
      <c r="P11" s="32">
        <f t="shared" si="1"/>
        <v>276405.82</v>
      </c>
      <c r="Q11" s="32">
        <f t="shared" si="1"/>
        <v>299116.58689999999</v>
      </c>
      <c r="R11" s="32">
        <f t="shared" si="1"/>
        <v>276754.60616999998</v>
      </c>
      <c r="S11" s="32">
        <f t="shared" si="1"/>
        <v>283739.29239999998</v>
      </c>
      <c r="T11" s="32">
        <f t="shared" si="1"/>
        <v>292405.23365000001</v>
      </c>
      <c r="U11" s="32">
        <f t="shared" ref="U11:Z11" si="2">SUM(U7:U10)</f>
        <v>296711.03083</v>
      </c>
      <c r="V11" s="32">
        <f t="shared" si="2"/>
        <v>296611.25040999998</v>
      </c>
      <c r="W11" s="32">
        <f t="shared" si="2"/>
        <v>297475.93216000003</v>
      </c>
      <c r="X11" s="32">
        <f t="shared" si="2"/>
        <v>300027.99829000002</v>
      </c>
      <c r="Y11" s="32">
        <f t="shared" si="2"/>
        <v>308674.47831999999</v>
      </c>
      <c r="Z11" s="32">
        <f t="shared" si="2"/>
        <v>308639.91159999999</v>
      </c>
      <c r="AB11" s="115"/>
    </row>
    <row r="12" spans="1:28" s="17" customFormat="1" ht="20.100000000000001" customHeight="1">
      <c r="A12" s="47" t="s">
        <v>23</v>
      </c>
      <c r="B12" s="32"/>
      <c r="C12" s="32"/>
      <c r="D12" s="32"/>
      <c r="E12" s="32"/>
      <c r="F12" s="32"/>
      <c r="G12" s="32"/>
      <c r="H12" s="32"/>
      <c r="I12" s="31"/>
      <c r="J12" s="31">
        <v>2290.34</v>
      </c>
      <c r="K12" s="31">
        <v>2345.1999999999998</v>
      </c>
      <c r="L12" s="31">
        <v>2490.52</v>
      </c>
      <c r="M12" s="31">
        <v>2873.35</v>
      </c>
      <c r="N12" s="31">
        <v>3028.1640000000002</v>
      </c>
      <c r="O12" s="31">
        <v>3099.9099500000002</v>
      </c>
      <c r="P12" s="31">
        <v>3251.29</v>
      </c>
      <c r="Q12" s="32">
        <v>3744.8474300000003</v>
      </c>
      <c r="R12" s="32">
        <v>2471.7839900000004</v>
      </c>
      <c r="S12" s="32">
        <v>2367.26404</v>
      </c>
      <c r="T12" s="32">
        <v>2595.4617899999998</v>
      </c>
      <c r="U12" s="32">
        <v>2665.95379</v>
      </c>
      <c r="V12" s="32">
        <v>2594.6817999999998</v>
      </c>
      <c r="W12" s="32">
        <v>2468.0300000000002</v>
      </c>
      <c r="X12" s="32">
        <v>2367.92</v>
      </c>
      <c r="Y12" s="32">
        <v>2276.6799999999998</v>
      </c>
      <c r="Z12" s="32">
        <v>2276.6799999999998</v>
      </c>
    </row>
    <row r="13" spans="1:28" s="17" customFormat="1" ht="20.100000000000001" customHeight="1">
      <c r="A13" s="16" t="s">
        <v>32</v>
      </c>
      <c r="B13" s="30">
        <v>8093.0907648480043</v>
      </c>
      <c r="C13" s="30">
        <v>7371.0468428834156</v>
      </c>
      <c r="D13" s="30">
        <v>6367.3446083204117</v>
      </c>
      <c r="E13" s="30">
        <v>6798.5046818842929</v>
      </c>
      <c r="F13" s="30">
        <v>7584.9470508336044</v>
      </c>
      <c r="G13" s="30">
        <v>8252.4130635991005</v>
      </c>
      <c r="H13" s="30">
        <v>9126.2305722837264</v>
      </c>
      <c r="I13" s="30">
        <v>9745.89</v>
      </c>
      <c r="J13" s="30">
        <v>10004.18</v>
      </c>
      <c r="K13" s="30">
        <v>10523.84</v>
      </c>
      <c r="L13" s="30">
        <v>11737.039049999999</v>
      </c>
      <c r="M13" s="30">
        <v>12537.05</v>
      </c>
      <c r="N13" s="30">
        <v>13331.49345</v>
      </c>
      <c r="O13" s="30">
        <v>14068.063399999999</v>
      </c>
      <c r="P13" s="30">
        <v>13683.13</v>
      </c>
      <c r="Q13" s="30">
        <v>12273.464749999999</v>
      </c>
      <c r="R13" s="30">
        <v>8229.8330399999995</v>
      </c>
      <c r="S13" s="30">
        <v>6922.3302999999996</v>
      </c>
      <c r="T13" s="30">
        <v>5247.05494</v>
      </c>
      <c r="U13" s="30">
        <v>4727.8485099999998</v>
      </c>
      <c r="V13" s="30">
        <v>4959.4237700000003</v>
      </c>
      <c r="W13" s="30">
        <v>5177.5998799999998</v>
      </c>
      <c r="X13" s="30">
        <v>6649.7248900000004</v>
      </c>
      <c r="Y13" s="30">
        <v>7576.8126400000001</v>
      </c>
      <c r="Z13" s="30">
        <v>7572.3901399999995</v>
      </c>
    </row>
    <row r="14" spans="1:28" s="17" customFormat="1" ht="20.100000000000001" customHeight="1">
      <c r="A14" s="18" t="s">
        <v>33</v>
      </c>
      <c r="B14" s="30">
        <v>4724.6643347397021</v>
      </c>
      <c r="C14" s="30">
        <v>4109.1017273087882</v>
      </c>
      <c r="D14" s="30">
        <v>4431.7670957893097</v>
      </c>
      <c r="E14" s="30">
        <v>5056.8797855588809</v>
      </c>
      <c r="F14" s="30">
        <v>5329.7993821595564</v>
      </c>
      <c r="G14" s="30">
        <v>5604.1433774476218</v>
      </c>
      <c r="H14" s="30">
        <v>6006.8395177478878</v>
      </c>
      <c r="I14" s="30">
        <v>6289.66</v>
      </c>
      <c r="J14" s="30">
        <v>6721.12</v>
      </c>
      <c r="K14" s="30">
        <v>7042.24</v>
      </c>
      <c r="L14" s="30">
        <v>6774.4250599999996</v>
      </c>
      <c r="M14" s="30">
        <v>7937.47</v>
      </c>
      <c r="N14" s="30">
        <v>9290.9239099999995</v>
      </c>
      <c r="O14" s="30">
        <v>9967.8700000000008</v>
      </c>
      <c r="P14" s="30">
        <v>11073.71</v>
      </c>
      <c r="Q14" s="30">
        <v>15123.39668</v>
      </c>
      <c r="R14" s="30">
        <v>9969.047849999999</v>
      </c>
      <c r="S14" s="30">
        <v>5878.5049800000006</v>
      </c>
      <c r="T14" s="30">
        <v>8269.8750400000008</v>
      </c>
      <c r="U14" s="30">
        <v>9986.1402500000004</v>
      </c>
      <c r="V14" s="30">
        <v>11344.8814</v>
      </c>
      <c r="W14" s="30">
        <v>9362.4367700000003</v>
      </c>
      <c r="X14" s="30">
        <v>9398.0588800000005</v>
      </c>
      <c r="Y14" s="30">
        <v>9426.8418499999989</v>
      </c>
      <c r="Z14" s="30">
        <v>9419.5735600000007</v>
      </c>
    </row>
    <row r="15" spans="1:28" s="17" customFormat="1" ht="20.100000000000001" customHeight="1">
      <c r="A15" s="21" t="s">
        <v>34</v>
      </c>
      <c r="B15" s="32">
        <f>SUM(B13:B14)</f>
        <v>12817.755099587706</v>
      </c>
      <c r="C15" s="32">
        <f t="shared" ref="C15:N15" si="3">SUM(C13:C14)</f>
        <v>11480.148570192203</v>
      </c>
      <c r="D15" s="32">
        <f t="shared" si="3"/>
        <v>10799.11170410972</v>
      </c>
      <c r="E15" s="32">
        <f t="shared" si="3"/>
        <v>11855.384467443175</v>
      </c>
      <c r="F15" s="32">
        <f t="shared" si="3"/>
        <v>12914.746432993161</v>
      </c>
      <c r="G15" s="32">
        <f t="shared" si="3"/>
        <v>13856.556441046723</v>
      </c>
      <c r="H15" s="32">
        <f t="shared" si="3"/>
        <v>15133.070090031615</v>
      </c>
      <c r="I15" s="32">
        <f t="shared" si="3"/>
        <v>16035.55</v>
      </c>
      <c r="J15" s="32">
        <f t="shared" si="3"/>
        <v>16725.3</v>
      </c>
      <c r="K15" s="32">
        <f t="shared" si="3"/>
        <v>17566.080000000002</v>
      </c>
      <c r="L15" s="32">
        <f t="shared" si="3"/>
        <v>18511.464110000001</v>
      </c>
      <c r="M15" s="32">
        <f t="shared" si="3"/>
        <v>20474.52</v>
      </c>
      <c r="N15" s="32">
        <f t="shared" si="3"/>
        <v>22622.417359999999</v>
      </c>
      <c r="O15" s="32">
        <f t="shared" ref="O15:T15" si="4">SUM(O13:O14)</f>
        <v>24035.933400000002</v>
      </c>
      <c r="P15" s="32">
        <f t="shared" si="4"/>
        <v>24756.839999999997</v>
      </c>
      <c r="Q15" s="32">
        <f t="shared" si="4"/>
        <v>27396.861429999997</v>
      </c>
      <c r="R15" s="32">
        <f t="shared" si="4"/>
        <v>18198.88089</v>
      </c>
      <c r="S15" s="32">
        <f t="shared" si="4"/>
        <v>12800.835279999999</v>
      </c>
      <c r="T15" s="32">
        <f t="shared" si="4"/>
        <v>13516.929980000001</v>
      </c>
      <c r="U15" s="32">
        <f t="shared" ref="U15:Z15" si="5">SUM(U13:U14)</f>
        <v>14713.98876</v>
      </c>
      <c r="V15" s="32">
        <f t="shared" si="5"/>
        <v>16304.30517</v>
      </c>
      <c r="W15" s="32">
        <f t="shared" si="5"/>
        <v>14540.03665</v>
      </c>
      <c r="X15" s="32">
        <f t="shared" si="5"/>
        <v>16047.783770000002</v>
      </c>
      <c r="Y15" s="32">
        <f t="shared" si="5"/>
        <v>17003.654490000001</v>
      </c>
      <c r="Z15" s="32">
        <f t="shared" si="5"/>
        <v>16991.9637</v>
      </c>
    </row>
    <row r="16" spans="1:28" s="23" customFormat="1" ht="20.100000000000001" customHeight="1">
      <c r="A16" s="22" t="s">
        <v>35</v>
      </c>
      <c r="B16" s="33">
        <f>B11+B15</f>
        <v>167866.88783912107</v>
      </c>
      <c r="C16" s="33">
        <f>C11+C12+C15</f>
        <v>173222.48867092183</v>
      </c>
      <c r="D16" s="33">
        <f t="shared" ref="D16:N16" si="6">D11+D12+D15</f>
        <v>176986.87389564028</v>
      </c>
      <c r="E16" s="33">
        <f t="shared" si="6"/>
        <v>179713.08283148822</v>
      </c>
      <c r="F16" s="33">
        <f t="shared" si="6"/>
        <v>187701.80784440998</v>
      </c>
      <c r="G16" s="33">
        <f t="shared" si="6"/>
        <v>196586.50968230501</v>
      </c>
      <c r="H16" s="33">
        <f t="shared" si="6"/>
        <v>207407.66651040351</v>
      </c>
      <c r="I16" s="33">
        <f t="shared" si="6"/>
        <v>204059.33</v>
      </c>
      <c r="J16" s="33">
        <f t="shared" si="6"/>
        <v>211515.06999999998</v>
      </c>
      <c r="K16" s="33">
        <f t="shared" si="6"/>
        <v>220519.23000000004</v>
      </c>
      <c r="L16" s="33">
        <f t="shared" si="6"/>
        <v>234980.80722999998</v>
      </c>
      <c r="M16" s="33">
        <f t="shared" si="6"/>
        <v>252121.08999999997</v>
      </c>
      <c r="N16" s="33">
        <f t="shared" si="6"/>
        <v>270196.88952000003</v>
      </c>
      <c r="O16" s="33">
        <f t="shared" ref="O16:T16" si="7">O11+O12+O15</f>
        <v>289749.32848999999</v>
      </c>
      <c r="P16" s="33">
        <f t="shared" si="7"/>
        <v>304413.94999999995</v>
      </c>
      <c r="Q16" s="33">
        <f t="shared" si="7"/>
        <v>330258.29576000001</v>
      </c>
      <c r="R16" s="33">
        <f t="shared" si="7"/>
        <v>297425.27104999998</v>
      </c>
      <c r="S16" s="33">
        <f t="shared" si="7"/>
        <v>298907.39171999996</v>
      </c>
      <c r="T16" s="33">
        <f t="shared" si="7"/>
        <v>308517.62542</v>
      </c>
      <c r="U16" s="33">
        <f t="shared" ref="U16:Z16" si="8">U11+U12+U15</f>
        <v>314090.97337999998</v>
      </c>
      <c r="V16" s="33">
        <f t="shared" si="8"/>
        <v>315510.23738000001</v>
      </c>
      <c r="W16" s="33">
        <f t="shared" si="8"/>
        <v>314483.99881000008</v>
      </c>
      <c r="X16" s="33">
        <f t="shared" si="8"/>
        <v>318443.70205999998</v>
      </c>
      <c r="Y16" s="33">
        <f t="shared" si="8"/>
        <v>327954.81280999997</v>
      </c>
      <c r="Z16" s="33">
        <f t="shared" si="8"/>
        <v>327908.55530000001</v>
      </c>
    </row>
    <row r="17" spans="1:27" s="17" customFormat="1" ht="20.100000000000001" customHeight="1">
      <c r="A17" s="18" t="s">
        <v>36</v>
      </c>
      <c r="B17" s="30">
        <v>2377.8923707523472</v>
      </c>
      <c r="C17" s="30">
        <v>2421.6160013462672</v>
      </c>
      <c r="D17" s="30">
        <v>3068.491339415576</v>
      </c>
      <c r="E17" s="30">
        <v>3626.0923394997176</v>
      </c>
      <c r="F17" s="30">
        <v>4612.6056278773458</v>
      </c>
      <c r="G17" s="30">
        <v>5720.0605820201217</v>
      </c>
      <c r="H17" s="30">
        <v>7811.8591708437007</v>
      </c>
      <c r="I17" s="30">
        <v>10148.959999999999</v>
      </c>
      <c r="J17" s="30">
        <v>9725.64</v>
      </c>
      <c r="K17" s="30">
        <v>10858.13</v>
      </c>
      <c r="L17" s="30">
        <v>14557.02252</v>
      </c>
      <c r="M17" s="30">
        <v>17710.669999999998</v>
      </c>
      <c r="N17" s="30">
        <v>20994.27678</v>
      </c>
      <c r="O17" s="30">
        <v>24772.9378</v>
      </c>
      <c r="P17" s="30">
        <v>45799.32</v>
      </c>
      <c r="Q17" s="30">
        <v>20437.570019999999</v>
      </c>
      <c r="R17" s="30">
        <v>18566.254059999999</v>
      </c>
      <c r="S17" s="30">
        <v>12869.245859999999</v>
      </c>
      <c r="T17" s="30">
        <v>36928.068490000005</v>
      </c>
      <c r="U17" s="30">
        <v>40535.103999999999</v>
      </c>
      <c r="V17" s="30">
        <v>32333.103599999999</v>
      </c>
      <c r="W17" s="30">
        <v>37372.29595</v>
      </c>
      <c r="X17" s="30">
        <v>36667.477149999999</v>
      </c>
      <c r="Y17" s="30">
        <v>40414.215049999999</v>
      </c>
      <c r="Z17" s="30">
        <v>40414.215049999999</v>
      </c>
    </row>
    <row r="18" spans="1:27" s="17" customFormat="1" ht="20.100000000000001" customHeight="1">
      <c r="A18" s="18" t="s">
        <v>37</v>
      </c>
      <c r="B18" s="30">
        <v>8047.912684961475</v>
      </c>
      <c r="C18" s="30">
        <v>21688.862043681562</v>
      </c>
      <c r="D18" s="30">
        <v>29118.856153762939</v>
      </c>
      <c r="E18" s="30">
        <v>26158.51093241018</v>
      </c>
      <c r="F18" s="30">
        <v>20349.36232615725</v>
      </c>
      <c r="G18" s="30">
        <v>15881.666726767877</v>
      </c>
      <c r="H18" s="30">
        <v>21562.306924861467</v>
      </c>
      <c r="I18" s="30">
        <v>24711.52</v>
      </c>
      <c r="J18" s="30">
        <v>37602.36</v>
      </c>
      <c r="K18" s="30">
        <v>33586.17</v>
      </c>
      <c r="L18" s="30">
        <v>30289.35</v>
      </c>
      <c r="M18" s="30">
        <v>31656.68</v>
      </c>
      <c r="N18" s="30">
        <v>33772.449189999999</v>
      </c>
      <c r="O18" s="30">
        <v>34892.970200000003</v>
      </c>
      <c r="P18" s="30">
        <v>34306.82</v>
      </c>
      <c r="Q18" s="30">
        <v>35703.735119999998</v>
      </c>
      <c r="R18" s="30">
        <v>46796.525820000003</v>
      </c>
      <c r="S18" s="30">
        <v>50289.173109999996</v>
      </c>
      <c r="T18" s="30">
        <v>62588.224299999994</v>
      </c>
      <c r="U18" s="30">
        <v>68605.2546</v>
      </c>
      <c r="V18" s="30">
        <v>92233.134699999995</v>
      </c>
      <c r="W18" s="30">
        <v>84513.728329999998</v>
      </c>
      <c r="X18" s="30">
        <v>88022.150290000005</v>
      </c>
      <c r="Y18" s="30">
        <v>81416.056110000005</v>
      </c>
      <c r="Z18" s="30">
        <v>81416.056110000005</v>
      </c>
    </row>
    <row r="19" spans="1:27" s="17" customFormat="1" ht="20.100000000000001" customHeight="1">
      <c r="A19" s="21" t="s">
        <v>38</v>
      </c>
      <c r="B19" s="32">
        <f>SUM(B17:B18)</f>
        <v>10425.805055713823</v>
      </c>
      <c r="C19" s="32">
        <f t="shared" ref="C19:N19" si="9">SUM(C17:C18)</f>
        <v>24110.47804502783</v>
      </c>
      <c r="D19" s="32">
        <f t="shared" si="9"/>
        <v>32187.347493178517</v>
      </c>
      <c r="E19" s="32">
        <f t="shared" si="9"/>
        <v>29784.603271909898</v>
      </c>
      <c r="F19" s="32">
        <f t="shared" si="9"/>
        <v>24961.967954034597</v>
      </c>
      <c r="G19" s="32">
        <f t="shared" si="9"/>
        <v>21601.727308787998</v>
      </c>
      <c r="H19" s="32">
        <f t="shared" si="9"/>
        <v>29374.166095705168</v>
      </c>
      <c r="I19" s="32">
        <f t="shared" si="9"/>
        <v>34860.479999999996</v>
      </c>
      <c r="J19" s="32">
        <f t="shared" si="9"/>
        <v>47328</v>
      </c>
      <c r="K19" s="32">
        <f t="shared" si="9"/>
        <v>44444.299999999996</v>
      </c>
      <c r="L19" s="32">
        <f t="shared" si="9"/>
        <v>44846.372519999997</v>
      </c>
      <c r="M19" s="32">
        <f t="shared" si="9"/>
        <v>49367.35</v>
      </c>
      <c r="N19" s="32">
        <f t="shared" si="9"/>
        <v>54766.72597</v>
      </c>
      <c r="O19" s="32">
        <f t="shared" ref="O19:T19" si="10">SUM(O17:O18)</f>
        <v>59665.908000000003</v>
      </c>
      <c r="P19" s="32">
        <f t="shared" si="10"/>
        <v>80106.14</v>
      </c>
      <c r="Q19" s="32">
        <f t="shared" si="10"/>
        <v>56141.305139999997</v>
      </c>
      <c r="R19" s="32">
        <f t="shared" si="10"/>
        <v>65362.779880000002</v>
      </c>
      <c r="S19" s="32">
        <f t="shared" si="10"/>
        <v>63158.418969999999</v>
      </c>
      <c r="T19" s="32">
        <f t="shared" si="10"/>
        <v>99516.292790000007</v>
      </c>
      <c r="U19" s="32">
        <f t="shared" ref="U19:Z19" si="11">SUM(U17:U18)</f>
        <v>109140.35860000001</v>
      </c>
      <c r="V19" s="32">
        <f t="shared" si="11"/>
        <v>124566.2383</v>
      </c>
      <c r="W19" s="32">
        <f t="shared" si="11"/>
        <v>121886.02428</v>
      </c>
      <c r="X19" s="32">
        <f t="shared" si="11"/>
        <v>124689.62744000001</v>
      </c>
      <c r="Y19" s="32">
        <f t="shared" si="11"/>
        <v>121830.27116</v>
      </c>
      <c r="Z19" s="32">
        <f t="shared" si="11"/>
        <v>121830.27116</v>
      </c>
      <c r="AA19" s="115"/>
    </row>
    <row r="20" spans="1:27" s="25" customFormat="1" ht="23.1" customHeight="1">
      <c r="A20" s="24" t="s">
        <v>39</v>
      </c>
      <c r="B20" s="34">
        <f>B16+B19</f>
        <v>178292.69289483491</v>
      </c>
      <c r="C20" s="34">
        <f t="shared" ref="C20:N20" si="12">C16+C19</f>
        <v>197332.96671594965</v>
      </c>
      <c r="D20" s="34">
        <f t="shared" si="12"/>
        <v>209174.22138881881</v>
      </c>
      <c r="E20" s="34">
        <f t="shared" si="12"/>
        <v>209497.68610339813</v>
      </c>
      <c r="F20" s="34">
        <f t="shared" si="12"/>
        <v>212663.77579844458</v>
      </c>
      <c r="G20" s="34">
        <f t="shared" si="12"/>
        <v>218188.236991093</v>
      </c>
      <c r="H20" s="34">
        <f t="shared" si="12"/>
        <v>236781.83260610868</v>
      </c>
      <c r="I20" s="34">
        <f t="shared" si="12"/>
        <v>238919.81</v>
      </c>
      <c r="J20" s="34">
        <f t="shared" si="12"/>
        <v>258843.06999999998</v>
      </c>
      <c r="K20" s="34">
        <f t="shared" si="12"/>
        <v>264963.53000000003</v>
      </c>
      <c r="L20" s="34">
        <f t="shared" si="12"/>
        <v>279827.17974999995</v>
      </c>
      <c r="M20" s="34">
        <f t="shared" si="12"/>
        <v>301488.43999999994</v>
      </c>
      <c r="N20" s="34">
        <f t="shared" si="12"/>
        <v>324963.61549</v>
      </c>
      <c r="O20" s="34">
        <f t="shared" ref="O20:T20" si="13">O16+O19</f>
        <v>349415.23648999998</v>
      </c>
      <c r="P20" s="34">
        <f t="shared" si="13"/>
        <v>384520.08999999997</v>
      </c>
      <c r="Q20" s="34">
        <f t="shared" si="13"/>
        <v>386399.60090000002</v>
      </c>
      <c r="R20" s="34">
        <f t="shared" si="13"/>
        <v>362788.05092999997</v>
      </c>
      <c r="S20" s="34">
        <f t="shared" si="13"/>
        <v>362065.81068999995</v>
      </c>
      <c r="T20" s="34">
        <f t="shared" si="13"/>
        <v>408033.91821000003</v>
      </c>
      <c r="U20" s="34">
        <f t="shared" ref="U20:Z20" si="14">U16+U19</f>
        <v>423231.33198000002</v>
      </c>
      <c r="V20" s="34">
        <f t="shared" si="14"/>
        <v>440076.47568000003</v>
      </c>
      <c r="W20" s="34">
        <f t="shared" si="14"/>
        <v>436370.02309000009</v>
      </c>
      <c r="X20" s="34">
        <f t="shared" si="14"/>
        <v>443133.32949999999</v>
      </c>
      <c r="Y20" s="34">
        <f t="shared" si="14"/>
        <v>449785.08396999998</v>
      </c>
      <c r="Z20" s="34">
        <f t="shared" si="14"/>
        <v>449738.82646000001</v>
      </c>
      <c r="AA20" s="114"/>
    </row>
    <row r="21" spans="1:27" s="25" customFormat="1" ht="17.25" customHeight="1">
      <c r="B21" s="98"/>
      <c r="C21" s="98"/>
      <c r="D21" s="98"/>
      <c r="E21" s="98"/>
      <c r="F21" s="98"/>
      <c r="G21" s="98"/>
      <c r="H21" s="98"/>
      <c r="I21" s="98"/>
      <c r="J21" s="98"/>
      <c r="K21" s="98"/>
      <c r="L21" s="98"/>
      <c r="M21" s="98"/>
      <c r="N21" s="98"/>
      <c r="O21" s="100" t="s">
        <v>121</v>
      </c>
      <c r="P21" s="98"/>
      <c r="Q21" s="98"/>
      <c r="R21" s="98"/>
      <c r="S21" s="98"/>
      <c r="T21" s="98"/>
      <c r="U21" s="92"/>
      <c r="V21" s="92"/>
      <c r="W21" s="92"/>
      <c r="X21" s="17"/>
      <c r="Y21" s="17"/>
      <c r="Z21" s="17"/>
    </row>
    <row r="22" spans="1:27" s="5" customFormat="1" ht="23.25" customHeight="1">
      <c r="A22" s="174" t="s">
        <v>123</v>
      </c>
      <c r="B22" s="174"/>
      <c r="C22" s="174"/>
      <c r="D22" s="174"/>
      <c r="E22" s="174"/>
      <c r="F22" s="174"/>
      <c r="G22" s="174"/>
      <c r="H22" s="174"/>
      <c r="I22" s="174"/>
      <c r="J22" s="174"/>
      <c r="K22" s="174"/>
      <c r="L22" s="174"/>
      <c r="M22" s="174"/>
      <c r="N22" s="174"/>
      <c r="O22" s="174"/>
      <c r="P22" s="174"/>
      <c r="Q22" s="174"/>
      <c r="R22" s="174"/>
      <c r="S22" s="174"/>
      <c r="T22" s="174"/>
      <c r="U22" s="174"/>
      <c r="X22" s="17"/>
      <c r="Y22" s="17"/>
      <c r="Z22" s="17"/>
    </row>
    <row r="23" spans="1:27" s="5" customFormat="1" ht="23.25" customHeight="1">
      <c r="A23" s="174" t="s">
        <v>108</v>
      </c>
      <c r="B23" s="174"/>
      <c r="C23" s="174"/>
      <c r="D23" s="174"/>
      <c r="E23" s="174"/>
      <c r="F23" s="174"/>
      <c r="G23" s="174"/>
      <c r="H23" s="174"/>
      <c r="I23" s="174"/>
      <c r="J23" s="174"/>
      <c r="K23" s="174"/>
      <c r="L23" s="174"/>
      <c r="M23" s="174"/>
      <c r="N23" s="174"/>
      <c r="O23" s="174"/>
      <c r="P23" s="174"/>
      <c r="Q23" s="174"/>
      <c r="R23" s="174"/>
      <c r="S23" s="174"/>
      <c r="T23" s="174"/>
      <c r="U23" s="174"/>
      <c r="X23" s="25"/>
      <c r="Y23" s="25"/>
      <c r="Z23" s="25"/>
    </row>
    <row r="24" spans="1:27" ht="15">
      <c r="A24" s="28"/>
      <c r="B24" s="29"/>
      <c r="T24" s="13"/>
      <c r="U24" s="13"/>
      <c r="V24" s="13"/>
      <c r="W24" s="13"/>
      <c r="X24" s="25"/>
      <c r="Y24" s="25"/>
      <c r="Z24" s="25"/>
    </row>
    <row r="25" spans="1:27" ht="15">
      <c r="A25" s="28" t="s">
        <v>40</v>
      </c>
      <c r="B25" s="29"/>
      <c r="N25" s="51"/>
      <c r="O25" s="72"/>
      <c r="P25" s="72"/>
      <c r="Q25" s="72"/>
      <c r="X25" s="5"/>
      <c r="Y25" s="5"/>
      <c r="Z25" s="5"/>
    </row>
    <row r="26" spans="1:27" ht="15">
      <c r="A26" s="45" t="s">
        <v>53</v>
      </c>
      <c r="X26" s="5"/>
      <c r="Y26" s="5"/>
      <c r="Z26" s="5"/>
    </row>
    <row r="27" spans="1:27">
      <c r="R27" s="39"/>
      <c r="S27" s="39"/>
    </row>
  </sheetData>
  <mergeCells count="2">
    <mergeCell ref="A22:U22"/>
    <mergeCell ref="A23:U23"/>
  </mergeCells>
  <phoneticPr fontId="0" type="noConversion"/>
  <printOptions horizontalCentered="1"/>
  <pageMargins left="0.75" right="0.75" top="0.39370078740157483" bottom="1" header="0" footer="0"/>
  <pageSetup paperSize="9" scale="94"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Z31"/>
  <sheetViews>
    <sheetView showGridLines="0" zoomScaleNormal="100" workbookViewId="0">
      <pane xSplit="8" ySplit="6" topLeftCell="P7" activePane="bottomRight" state="frozen"/>
      <selection activeCell="Y20" sqref="Y20"/>
      <selection pane="topRight" activeCell="Y20" sqref="Y20"/>
      <selection pane="bottomLeft" activeCell="Y20" sqref="Y20"/>
      <selection pane="bottomRight" activeCell="Z6" sqref="Z6"/>
    </sheetView>
  </sheetViews>
  <sheetFormatPr baseColWidth="10" defaultColWidth="11.42578125" defaultRowHeight="12.75"/>
  <cols>
    <col min="1" max="1" width="38.5703125" style="13" customWidth="1"/>
    <col min="2" max="2" width="9.140625" style="12" hidden="1" customWidth="1"/>
    <col min="3" max="16" width="9.7109375" style="12" hidden="1" customWidth="1"/>
    <col min="17" max="26" width="9.7109375" style="12" customWidth="1"/>
    <col min="27" max="16384" width="11.42578125" style="12"/>
  </cols>
  <sheetData>
    <row r="1" spans="1:26" ht="24.95" customHeight="1">
      <c r="A1" s="104" t="s">
        <v>110</v>
      </c>
    </row>
    <row r="2" spans="1:26" ht="24.95" customHeight="1">
      <c r="A2" s="104" t="s">
        <v>111</v>
      </c>
    </row>
    <row r="3" spans="1:26" ht="24.95" customHeight="1">
      <c r="A3" s="12"/>
    </row>
    <row r="4" spans="1:26" ht="20.100000000000001" customHeight="1">
      <c r="A4" s="41" t="s">
        <v>93</v>
      </c>
      <c r="B4" s="41"/>
      <c r="C4" s="41"/>
      <c r="D4" s="41"/>
      <c r="E4" s="41"/>
      <c r="F4" s="41"/>
      <c r="G4" s="41"/>
      <c r="H4" s="41"/>
      <c r="I4" s="41"/>
      <c r="J4" s="41"/>
      <c r="K4" s="41"/>
      <c r="L4" s="41"/>
      <c r="M4" s="41"/>
      <c r="N4" s="41"/>
      <c r="O4" s="41"/>
      <c r="P4" s="41"/>
      <c r="Q4" s="41"/>
      <c r="R4" s="41"/>
      <c r="S4" s="41"/>
      <c r="T4" s="41"/>
      <c r="U4" s="41"/>
      <c r="V4" s="41"/>
      <c r="W4" s="41"/>
      <c r="X4" s="41"/>
      <c r="Y4" s="41"/>
      <c r="Z4" s="41"/>
    </row>
    <row r="5" spans="1:26" ht="15.75" thickBot="1">
      <c r="A5" s="42" t="s">
        <v>0</v>
      </c>
      <c r="B5" s="42"/>
      <c r="C5" s="42"/>
      <c r="D5" s="42"/>
      <c r="E5" s="42"/>
      <c r="F5" s="42"/>
      <c r="G5" s="42"/>
      <c r="H5" s="42"/>
      <c r="I5" s="42"/>
      <c r="J5" s="42"/>
      <c r="K5" s="42"/>
      <c r="L5" s="42"/>
      <c r="M5" s="42"/>
      <c r="N5" s="42"/>
      <c r="O5" s="42"/>
      <c r="P5" s="42"/>
      <c r="Q5" s="42"/>
      <c r="R5" s="42"/>
      <c r="S5" s="42"/>
      <c r="T5" s="42"/>
      <c r="U5" s="42"/>
      <c r="V5" s="42"/>
      <c r="W5" s="42"/>
      <c r="X5" s="42"/>
      <c r="Y5" s="42"/>
      <c r="Z5" s="42"/>
    </row>
    <row r="6" spans="1:26" s="15" customFormat="1" ht="23.25" customHeight="1" thickBot="1">
      <c r="A6" s="43" t="s">
        <v>71</v>
      </c>
      <c r="B6" s="44" t="s">
        <v>1</v>
      </c>
      <c r="C6" s="44" t="s">
        <v>25</v>
      </c>
      <c r="D6" s="44" t="s">
        <v>2</v>
      </c>
      <c r="E6" s="44" t="s">
        <v>3</v>
      </c>
      <c r="F6" s="44" t="s">
        <v>4</v>
      </c>
      <c r="G6" s="44" t="s">
        <v>5</v>
      </c>
      <c r="H6" s="44" t="s">
        <v>6</v>
      </c>
      <c r="I6" s="44" t="s">
        <v>12</v>
      </c>
      <c r="J6" s="44" t="s">
        <v>7</v>
      </c>
      <c r="K6" s="44" t="s">
        <v>8</v>
      </c>
      <c r="L6" s="44" t="s">
        <v>55</v>
      </c>
      <c r="M6" s="55">
        <v>2006</v>
      </c>
      <c r="N6" s="55">
        <v>2007</v>
      </c>
      <c r="O6" s="55" t="s">
        <v>116</v>
      </c>
      <c r="P6" s="55">
        <v>2009</v>
      </c>
      <c r="Q6" s="55">
        <v>2010</v>
      </c>
      <c r="R6" s="55">
        <v>2011</v>
      </c>
      <c r="S6" s="96">
        <v>2012</v>
      </c>
      <c r="T6" s="96" t="s">
        <v>119</v>
      </c>
      <c r="U6" s="96" t="s">
        <v>109</v>
      </c>
      <c r="V6" s="96">
        <v>2015</v>
      </c>
      <c r="W6" s="96">
        <v>2016</v>
      </c>
      <c r="X6" s="110" t="s">
        <v>114</v>
      </c>
      <c r="Y6" s="110" t="s">
        <v>115</v>
      </c>
      <c r="Z6" s="110" t="s">
        <v>434</v>
      </c>
    </row>
    <row r="7" spans="1:26" s="17" customFormat="1" ht="20.100000000000001" customHeight="1">
      <c r="A7" s="36" t="s">
        <v>103</v>
      </c>
      <c r="B7" s="30" t="e">
        <f>+'12.2'!#REF!+'12.3'!B7</f>
        <v>#REF!</v>
      </c>
      <c r="C7" s="30" t="e">
        <f>+'12.2'!#REF!+'12.3'!C7</f>
        <v>#REF!</v>
      </c>
      <c r="D7" s="30">
        <f>'12.2'!D7+'12.3'!D7</f>
        <v>2185.63</v>
      </c>
      <c r="E7" s="30">
        <f>'12.2'!E7+'12.3'!E7</f>
        <v>2498.4121500607025</v>
      </c>
      <c r="F7" s="30">
        <f>'12.2'!F7+'12.3'!F7</f>
        <v>2382.0241366461123</v>
      </c>
      <c r="G7" s="30">
        <f>'12.2'!G7+'12.3'!G7</f>
        <v>2353.6454749798659</v>
      </c>
      <c r="H7" s="30">
        <f>'12.2'!H7+'12.3'!H7</f>
        <v>2391</v>
      </c>
      <c r="I7" s="30">
        <f>'12.2'!I7+'12.3'!I7</f>
        <v>2446</v>
      </c>
      <c r="J7" s="30">
        <f>'12.2'!J7+'12.3'!J7</f>
        <v>2532</v>
      </c>
      <c r="K7" s="30">
        <f>'12.2'!K7+'12.3'!K7</f>
        <v>2650</v>
      </c>
      <c r="L7" s="30">
        <f>'12.2'!L7+'12.3'!L7</f>
        <v>1801</v>
      </c>
      <c r="M7" s="30">
        <f>'12.2'!M7+'12.3'!M7</f>
        <v>2660.5914299999999</v>
      </c>
      <c r="N7" s="30">
        <f>'12.2'!N7+'12.3'!N7</f>
        <v>3023.4546600000003</v>
      </c>
      <c r="O7" s="30">
        <f>'12.2'!O7+'12.3'!O7</f>
        <v>3179.87</v>
      </c>
      <c r="P7" s="30">
        <f>'12.2'!P7+'12.3'!P7</f>
        <v>2949.18</v>
      </c>
      <c r="Q7" s="30">
        <f>'12.2'!Q7+'12.3'!Q7</f>
        <v>2778.8670400000001</v>
      </c>
      <c r="R7" s="30">
        <f>'12.2'!R7+'12.3'!R7</f>
        <v>2506.0766999999996</v>
      </c>
      <c r="S7" s="30">
        <f>'12.2'!S7+'12.3'!S7</f>
        <v>2414.4038399999999</v>
      </c>
      <c r="T7" s="30">
        <v>5695.0288799999998</v>
      </c>
      <c r="U7" s="30">
        <v>3230.3439700000004</v>
      </c>
      <c r="V7" s="30">
        <f>'12.2'!V7+'12.3'!V7</f>
        <v>3285.5407299999997</v>
      </c>
      <c r="W7" s="30">
        <f>'12.2'!W7+'12.3'!W7</f>
        <v>2872.6074800000001</v>
      </c>
      <c r="X7" s="30">
        <f>'12.2'!X7+'12.3'!X7</f>
        <v>2778.8895700000003</v>
      </c>
      <c r="Y7" s="30">
        <f>'12.2'!Y7+'12.3'!Y7</f>
        <v>2849.6688999999997</v>
      </c>
      <c r="Z7" s="30">
        <f>'12.2'!Z7+'12.3'!Z7</f>
        <v>3029.7491499999996</v>
      </c>
    </row>
    <row r="8" spans="1:26" s="17" customFormat="1" ht="20.100000000000001" customHeight="1">
      <c r="A8" s="36" t="s">
        <v>72</v>
      </c>
      <c r="B8" s="30">
        <f>+'12.2'!B8+'12.3'!B8</f>
        <v>24269.13</v>
      </c>
      <c r="C8" s="30">
        <f>+'12.2'!C8+'12.3'!C8</f>
        <v>27114.679119637469</v>
      </c>
      <c r="D8" s="30">
        <f>+'12.2'!D8+'12.3'!D8</f>
        <v>29065.679999999997</v>
      </c>
      <c r="E8" s="30">
        <f>+'12.2'!E8+'12.3'!E8</f>
        <v>28239.39514141815</v>
      </c>
      <c r="F8" s="30">
        <f>+'12.2'!F8+'12.3'!F8</f>
        <v>30700.269253422764</v>
      </c>
      <c r="G8" s="30">
        <f>+'12.2'!G8+'12.3'!G8</f>
        <v>36387.334270912223</v>
      </c>
      <c r="H8" s="30">
        <f>+'12.2'!H8+'12.3'!H8</f>
        <v>1960.4353731684157</v>
      </c>
      <c r="I8" s="30">
        <f>+'12.2'!I8+'12.3'!I8</f>
        <v>27061.63</v>
      </c>
      <c r="J8" s="30">
        <f>+'12.2'!J8+'12.3'!J8</f>
        <v>30495.62</v>
      </c>
      <c r="K8" s="30">
        <f>+'12.2'!K8+'12.3'!K8</f>
        <v>31694.566999999999</v>
      </c>
      <c r="L8" s="30">
        <f>+'12.2'!L8+'12.3'!L8</f>
        <v>34929.466999999997</v>
      </c>
      <c r="M8" s="30">
        <f>+'12.2'!M8+'12.3'!M8</f>
        <v>38774.614929999996</v>
      </c>
      <c r="N8" s="30">
        <f>+'12.2'!N8+'12.3'!N8</f>
        <v>42961.289110000005</v>
      </c>
      <c r="O8" s="30">
        <f>'12.2'!O8+'12.3'!O8</f>
        <v>47093.989379999999</v>
      </c>
      <c r="P8" s="30">
        <f>'12.2'!P8+'12.3'!P8</f>
        <v>48388.740000000005</v>
      </c>
      <c r="Q8" s="30">
        <f>'12.2'!Q8+'12.3'!Q8</f>
        <v>53524.785669999997</v>
      </c>
      <c r="R8" s="30">
        <f>'12.2'!R8+'12.3'!R8</f>
        <v>25283.962480000002</v>
      </c>
      <c r="S8" s="30">
        <f>'12.2'!S8+'12.3'!S8</f>
        <v>27740.26887</v>
      </c>
      <c r="T8" s="30">
        <v>24451.109069999999</v>
      </c>
      <c r="U8" s="30">
        <v>21127.480079999998</v>
      </c>
      <c r="V8" s="30">
        <f>'12.2'!V8+'12.3'!V8</f>
        <v>22790.43334</v>
      </c>
      <c r="W8" s="30">
        <f>'12.2'!W8+'12.3'!W8</f>
        <v>23533.933379999999</v>
      </c>
      <c r="X8" s="30">
        <f>'12.2'!X8+'12.3'!X8</f>
        <v>24273.94484</v>
      </c>
      <c r="Y8" s="30">
        <f>'12.2'!Y8+'12.3'!Y8</f>
        <v>25979.857940000002</v>
      </c>
      <c r="Z8" s="30">
        <f>'12.2'!Z8+'12.3'!Z8</f>
        <v>25979.721939999999</v>
      </c>
    </row>
    <row r="9" spans="1:26" s="17" customFormat="1" ht="20.100000000000001" customHeight="1">
      <c r="A9" s="36" t="s">
        <v>73</v>
      </c>
      <c r="B9" s="30">
        <f>+'12.2'!B9+'12.3'!B9</f>
        <v>7407.9</v>
      </c>
      <c r="C9" s="30">
        <f>+'12.2'!C9+'12.3'!C9</f>
        <v>7729.1719255225808</v>
      </c>
      <c r="D9" s="30">
        <f>+'12.2'!D9+'12.3'!D9</f>
        <v>8137.8000000000011</v>
      </c>
      <c r="E9" s="30">
        <f>+'12.2'!E9+'12.3'!E9</f>
        <v>8467.9961054415653</v>
      </c>
      <c r="F9" s="30">
        <f>+'12.2'!F9+'12.3'!F9</f>
        <v>8996.327816042216</v>
      </c>
      <c r="G9" s="30">
        <f>+'12.2'!G9+'12.3'!G9</f>
        <v>9811.3182599497559</v>
      </c>
      <c r="H9" s="30">
        <f>+'12.2'!H9+'12.3'!H9</f>
        <v>237.33968002115563</v>
      </c>
      <c r="I9" s="30">
        <f>+'12.2'!I9+'12.3'!I9</f>
        <v>10830.65</v>
      </c>
      <c r="J9" s="30">
        <f>+'12.2'!J9+'12.3'!J9</f>
        <v>11461.75</v>
      </c>
      <c r="K9" s="30">
        <f>+'12.2'!K9+'12.3'!K9</f>
        <v>11056.490000000002</v>
      </c>
      <c r="L9" s="30">
        <f>+'12.2'!L9+'12.3'!L9</f>
        <v>11627.362450000001</v>
      </c>
      <c r="M9" s="30">
        <f>+'12.2'!M9+'12.3'!M9</f>
        <v>13402.04925</v>
      </c>
      <c r="N9" s="30">
        <f>+'12.2'!N9+'12.3'!N9</f>
        <v>14462.360420000001</v>
      </c>
      <c r="O9" s="30">
        <f>'12.2'!O9+'12.3'!O9</f>
        <v>15447.72169</v>
      </c>
      <c r="P9" s="30">
        <f>'12.2'!P9+'12.3'!P9</f>
        <v>15510.93</v>
      </c>
      <c r="Q9" s="30">
        <f>'12.2'!Q9+'12.3'!Q9</f>
        <v>17871.84287</v>
      </c>
      <c r="R9" s="30">
        <f>'12.2'!R9+'12.3'!R9</f>
        <v>14232.632619999998</v>
      </c>
      <c r="S9" s="30">
        <f>'12.2'!S9+'12.3'!S9</f>
        <v>15315.586360000001</v>
      </c>
      <c r="T9" s="30">
        <v>16133.06972</v>
      </c>
      <c r="U9" s="30">
        <v>16125.005349999999</v>
      </c>
      <c r="V9" s="30">
        <f>'12.2'!V9+'12.3'!V9</f>
        <v>16456.732819999997</v>
      </c>
      <c r="W9" s="30">
        <f>'12.2'!W9+'12.3'!W9</f>
        <v>17017.228790000001</v>
      </c>
      <c r="X9" s="30">
        <f>'12.2'!X9+'12.3'!X9</f>
        <v>16749.686890000001</v>
      </c>
      <c r="Y9" s="30">
        <f>'12.2'!Y9+'12.3'!Y9</f>
        <v>16991.448909999999</v>
      </c>
      <c r="Z9" s="30">
        <f>'12.2'!Z9+'12.3'!Z9</f>
        <v>16987.584910000001</v>
      </c>
    </row>
    <row r="10" spans="1:26" s="17" customFormat="1" ht="20.100000000000001" customHeight="1">
      <c r="A10" s="36" t="s">
        <v>74</v>
      </c>
      <c r="B10" s="30">
        <f>+'12.2'!B10+'12.3'!B10</f>
        <v>6777.4</v>
      </c>
      <c r="C10" s="30">
        <f>+'12.2'!C10+'12.3'!C10</f>
        <v>6464.3900328152613</v>
      </c>
      <c r="D10" s="30">
        <f>+'12.2'!D10+'12.3'!D10</f>
        <v>6727.83</v>
      </c>
      <c r="E10" s="30">
        <f>+'12.2'!E10+'12.3'!E10</f>
        <v>7372.0024521293863</v>
      </c>
      <c r="F10" s="30">
        <f>+'12.2'!F10+'12.3'!F10</f>
        <v>7616.2898320772183</v>
      </c>
      <c r="G10" s="30">
        <f>+'12.2'!G10+'12.3'!G10</f>
        <v>8057.3004940319497</v>
      </c>
      <c r="H10" s="30">
        <f>+'12.2'!H10+'12.3'!H10</f>
        <v>1728.8233385020376</v>
      </c>
      <c r="I10" s="30">
        <f>+'12.2'!I10+'12.3'!I10</f>
        <v>8741.0499999999993</v>
      </c>
      <c r="J10" s="30">
        <f>+'12.2'!J10+'12.3'!J10</f>
        <v>9183.2000000000007</v>
      </c>
      <c r="K10" s="30">
        <f>+'12.2'!K10+'12.3'!K10</f>
        <v>8974.5048800000004</v>
      </c>
      <c r="L10" s="30">
        <f>+'12.2'!L10+'12.3'!L10</f>
        <v>9074.2425599999988</v>
      </c>
      <c r="M10" s="30">
        <f>+'12.2'!M10+'12.3'!M10</f>
        <v>9485.2685400000009</v>
      </c>
      <c r="N10" s="30">
        <f>+'12.2'!N10+'12.3'!N10</f>
        <v>9349.5109499999999</v>
      </c>
      <c r="O10" s="30">
        <f>+'12.2'!O10+'12.3'!O10</f>
        <v>9903.0939500000004</v>
      </c>
      <c r="P10" s="30">
        <f>+'12.2'!P10+'12.3'!P10</f>
        <v>9201.7999999999993</v>
      </c>
      <c r="Q10" s="30">
        <f>'12.2'!Q10+'12.3'!Q10</f>
        <v>9256.5513399999982</v>
      </c>
      <c r="R10" s="30">
        <f>'12.2'!R10+'12.3'!R10</f>
        <v>9099.2548000000006</v>
      </c>
      <c r="S10" s="30">
        <f>'12.2'!S10+'12.3'!S10</f>
        <v>8572.61175</v>
      </c>
      <c r="T10" s="30">
        <v>7818.1924499999996</v>
      </c>
      <c r="U10" s="30">
        <v>11968.882170000001</v>
      </c>
      <c r="V10" s="30">
        <f>'12.2'!V10+'12.3'!V10</f>
        <v>12888.187610000001</v>
      </c>
      <c r="W10" s="30">
        <f>'12.2'!W10+'12.3'!W10</f>
        <v>11553.980009999999</v>
      </c>
      <c r="X10" s="30">
        <f>'12.2'!X10+'12.3'!X10</f>
        <v>11500.85853</v>
      </c>
      <c r="Y10" s="30">
        <f>'12.2'!Y10+'12.3'!Y10</f>
        <v>12141.450209999999</v>
      </c>
      <c r="Z10" s="30">
        <f>'12.2'!Z10+'12.3'!Z10</f>
        <v>12136.440210000001</v>
      </c>
    </row>
    <row r="11" spans="1:26" s="17" customFormat="1" ht="20.100000000000001" customHeight="1">
      <c r="A11" s="36" t="s">
        <v>102</v>
      </c>
      <c r="B11" s="30">
        <f>+'12.2'!B11+'12.3'!B11</f>
        <v>62544.369999999995</v>
      </c>
      <c r="C11" s="30">
        <f>+'12.2'!C11+'12.3'!C11</f>
        <v>63588.360799586502</v>
      </c>
      <c r="D11" s="30">
        <f>+'12.2'!D11+'12.3'!D11</f>
        <v>65245.06</v>
      </c>
      <c r="E11" s="30">
        <f>+'12.2'!E11+'12.3'!E11</f>
        <v>68302.910100609428</v>
      </c>
      <c r="F11" s="30">
        <f>+'12.2'!F11+'12.3'!F11</f>
        <v>71629.746493094368</v>
      </c>
      <c r="G11" s="30">
        <f>+'12.2'!G11+'12.3'!G11</f>
        <v>74551.386534924823</v>
      </c>
      <c r="H11" s="30">
        <f>+'12.2'!H11+'12.3'!H11</f>
        <v>734.10623489957095</v>
      </c>
      <c r="I11" s="30">
        <f>+'12.2'!I11+'12.3'!I11</f>
        <v>83429.820000000007</v>
      </c>
      <c r="J11" s="30">
        <f>+'12.2'!J11+'12.3'!J11</f>
        <v>87554.42</v>
      </c>
      <c r="K11" s="30">
        <f>+'12.2'!K11+'12.3'!K11</f>
        <v>93471.12</v>
      </c>
      <c r="L11" s="30">
        <f>+'12.2'!L11+'12.3'!L11</f>
        <v>101059.277</v>
      </c>
      <c r="M11" s="30">
        <f>+'12.2'!M11+'12.3'!M11</f>
        <v>108448.03951</v>
      </c>
      <c r="N11" s="30">
        <f>+'12.2'!N11+'12.3'!N11</f>
        <v>118286.44585999999</v>
      </c>
      <c r="O11" s="30">
        <f>+'12.2'!O11+'12.3'!O11</f>
        <v>126881.93000000001</v>
      </c>
      <c r="P11" s="30">
        <f>+'12.2'!P11+'12.3'!P11</f>
        <v>138725.87</v>
      </c>
      <c r="Q11" s="30">
        <f>'12.2'!Q11+'12.3'!Q11</f>
        <v>151624.93380999999</v>
      </c>
      <c r="R11" s="30">
        <f>'12.2'!R11+'12.3'!R11</f>
        <v>153984.02503000002</v>
      </c>
      <c r="S11" s="30">
        <f>'12.2'!S11+'12.3'!S11</f>
        <v>152763.20788999999</v>
      </c>
      <c r="T11" s="30">
        <v>154415.26324999999</v>
      </c>
      <c r="U11" s="30">
        <v>174241.80683000002</v>
      </c>
      <c r="V11" s="30">
        <f>'12.2'!V11+'12.3'!V11</f>
        <v>173256.81706</v>
      </c>
      <c r="W11" s="30">
        <f>'12.2'!W11+'12.3'!W11</f>
        <v>172674.20668999999</v>
      </c>
      <c r="X11" s="30">
        <f>'12.2'!X11+'12.3'!X11</f>
        <v>177289.72649</v>
      </c>
      <c r="Y11" s="30">
        <f>'12.2'!Y11+'12.3'!Y11</f>
        <v>182958.90113000001</v>
      </c>
      <c r="Z11" s="30">
        <f>'12.2'!Z11+'12.3'!Z11</f>
        <v>182958.90113000001</v>
      </c>
    </row>
    <row r="12" spans="1:26" s="17" customFormat="1" ht="20.100000000000001" customHeight="1">
      <c r="A12" s="36" t="s">
        <v>75</v>
      </c>
      <c r="B12" s="30">
        <f>+'12.2'!B12+'12.3'!B12</f>
        <v>5672</v>
      </c>
      <c r="C12" s="30">
        <f>+'12.2'!C12+'12.3'!C12</f>
        <v>5489.6505715625108</v>
      </c>
      <c r="D12" s="30">
        <f>+'12.2'!D12+'12.3'!D12</f>
        <v>6259.6100000000006</v>
      </c>
      <c r="E12" s="30">
        <f>+'12.2'!E12+'12.3'!E12</f>
        <v>6254.1319582176393</v>
      </c>
      <c r="F12" s="30">
        <f>+'12.2'!F12+'12.3'!F12</f>
        <v>6787.878787878788</v>
      </c>
      <c r="G12" s="30">
        <f>+'12.2'!G12+'12.3'!G12</f>
        <v>7416.1347709542879</v>
      </c>
      <c r="H12" s="30">
        <f>+'12.2'!H12+'12.3'!H12</f>
        <v>191.32018318848941</v>
      </c>
      <c r="I12" s="30">
        <f>+'12.2'!I12+'12.3'!I12</f>
        <v>8662.0600000000013</v>
      </c>
      <c r="J12" s="30">
        <f>+'12.2'!J12+'12.3'!J12</f>
        <v>9151.82</v>
      </c>
      <c r="K12" s="30">
        <f>+'12.2'!K12+'12.3'!K12</f>
        <v>9926.17</v>
      </c>
      <c r="L12" s="30">
        <f>+'12.2'!L12+'12.3'!L12</f>
        <v>10798.008</v>
      </c>
      <c r="M12" s="30">
        <f>+'12.2'!M12+'12.3'!M12</f>
        <v>11804.609979999999</v>
      </c>
      <c r="N12" s="30">
        <f>+'12.2'!N12+'12.3'!N12</f>
        <v>12615.64308</v>
      </c>
      <c r="O12" s="30">
        <f>+'12.2'!O12+'12.3'!O12</f>
        <v>13504.97566</v>
      </c>
      <c r="P12" s="30">
        <f>+'12.2'!P12+'12.3'!P12</f>
        <v>13618.4</v>
      </c>
      <c r="Q12" s="30">
        <f>'12.2'!Q12+'12.3'!Q12</f>
        <v>13555.92452</v>
      </c>
      <c r="R12" s="30">
        <f>'12.2'!R12+'12.3'!R12</f>
        <v>13225.97478</v>
      </c>
      <c r="S12" s="30">
        <f>'12.2'!S12+'12.3'!S12</f>
        <v>13127.27216</v>
      </c>
      <c r="T12" s="30">
        <v>13028.25143</v>
      </c>
      <c r="U12" s="30">
        <v>14418.380630000001</v>
      </c>
      <c r="V12" s="30">
        <f>'12.2'!V12+'12.3'!V12</f>
        <v>14250.295779999999</v>
      </c>
      <c r="W12" s="30">
        <f>'12.2'!W12+'12.3'!W12</f>
        <v>15391.548139999999</v>
      </c>
      <c r="X12" s="30">
        <f>'12.2'!X12+'12.3'!X12</f>
        <v>14680.88884</v>
      </c>
      <c r="Y12" s="30">
        <f>'12.2'!Y12+'12.3'!Y12</f>
        <v>14929.171179999999</v>
      </c>
      <c r="Z12" s="30">
        <f>'12.2'!Z12+'12.3'!Z12</f>
        <v>14724.810759999998</v>
      </c>
    </row>
    <row r="13" spans="1:26" s="25" customFormat="1" ht="23.1" customHeight="1">
      <c r="A13" s="53" t="s">
        <v>76</v>
      </c>
      <c r="B13" s="33" t="e">
        <f t="shared" ref="B13:P13" si="0">SUM(B7:B12)</f>
        <v>#REF!</v>
      </c>
      <c r="C13" s="33" t="e">
        <f t="shared" si="0"/>
        <v>#REF!</v>
      </c>
      <c r="D13" s="33">
        <f t="shared" si="0"/>
        <v>117621.61</v>
      </c>
      <c r="E13" s="33">
        <f t="shared" si="0"/>
        <v>121134.84790787687</v>
      </c>
      <c r="F13" s="33">
        <f t="shared" si="0"/>
        <v>128112.53631916147</v>
      </c>
      <c r="G13" s="33">
        <f t="shared" si="0"/>
        <v>138577.11980575291</v>
      </c>
      <c r="H13" s="33">
        <f t="shared" si="0"/>
        <v>7243.0248097796702</v>
      </c>
      <c r="I13" s="33">
        <f t="shared" si="0"/>
        <v>141171.21000000002</v>
      </c>
      <c r="J13" s="33">
        <f t="shared" si="0"/>
        <v>150378.81</v>
      </c>
      <c r="K13" s="33">
        <f t="shared" si="0"/>
        <v>157772.85188</v>
      </c>
      <c r="L13" s="33">
        <f t="shared" si="0"/>
        <v>169289.35701000001</v>
      </c>
      <c r="M13" s="33">
        <f t="shared" si="0"/>
        <v>184575.17363999999</v>
      </c>
      <c r="N13" s="33">
        <f t="shared" si="0"/>
        <v>200698.70408</v>
      </c>
      <c r="O13" s="33">
        <f t="shared" si="0"/>
        <v>216011.58068000001</v>
      </c>
      <c r="P13" s="33">
        <f t="shared" si="0"/>
        <v>228394.92</v>
      </c>
      <c r="Q13" s="33">
        <f t="shared" ref="Q13:V13" si="1">SUM(Q7:Q12)</f>
        <v>248612.90524999998</v>
      </c>
      <c r="R13" s="33">
        <f t="shared" si="1"/>
        <v>218331.92641000001</v>
      </c>
      <c r="S13" s="33">
        <f t="shared" si="1"/>
        <v>219933.35086999997</v>
      </c>
      <c r="T13" s="33">
        <f t="shared" si="1"/>
        <v>221540.9148</v>
      </c>
      <c r="U13" s="33">
        <f t="shared" si="1"/>
        <v>241111.89903</v>
      </c>
      <c r="V13" s="33">
        <f t="shared" si="1"/>
        <v>242928.00733999998</v>
      </c>
      <c r="W13" s="33">
        <f>SUM(W7:W12)</f>
        <v>243043.50448999999</v>
      </c>
      <c r="X13" s="112">
        <f>'12.2'!X13+'12.3'!X13</f>
        <v>247273.99516000002</v>
      </c>
      <c r="Y13" s="112">
        <f>'12.2'!Y13+'12.3'!Y13</f>
        <v>255850.49826999998</v>
      </c>
      <c r="Z13" s="112">
        <f>'12.2'!Z13+'12.3'!Z13</f>
        <v>255817.20809999999</v>
      </c>
    </row>
    <row r="14" spans="1:26" s="25" customFormat="1" ht="14.25" customHeight="1">
      <c r="B14" s="102"/>
      <c r="C14" s="102"/>
      <c r="D14" s="102"/>
      <c r="E14" s="102"/>
      <c r="F14" s="102"/>
      <c r="G14" s="102"/>
      <c r="H14" s="102"/>
      <c r="I14" s="102"/>
      <c r="J14" s="102"/>
      <c r="K14" s="102"/>
      <c r="L14" s="102"/>
      <c r="M14" s="102"/>
      <c r="N14" s="102"/>
      <c r="O14" s="102" t="s">
        <v>121</v>
      </c>
      <c r="P14" s="102"/>
      <c r="Q14" s="102"/>
      <c r="R14" s="102"/>
      <c r="S14" s="102"/>
      <c r="T14" s="102"/>
      <c r="U14" s="102"/>
    </row>
    <row r="15" spans="1:26" s="5" customFormat="1" ht="38.25" customHeight="1">
      <c r="A15" s="174" t="s">
        <v>118</v>
      </c>
      <c r="B15" s="174"/>
      <c r="C15" s="174"/>
      <c r="D15" s="174"/>
      <c r="E15" s="174"/>
      <c r="F15" s="174"/>
      <c r="G15" s="174"/>
      <c r="H15" s="174"/>
      <c r="I15" s="174"/>
      <c r="J15" s="174"/>
      <c r="K15" s="174"/>
      <c r="L15" s="174"/>
      <c r="M15" s="174"/>
      <c r="N15" s="174"/>
      <c r="O15" s="174"/>
      <c r="P15" s="174"/>
      <c r="Q15" s="174"/>
      <c r="R15" s="174"/>
      <c r="S15" s="174"/>
      <c r="T15" s="174"/>
      <c r="U15" s="174"/>
    </row>
    <row r="16" spans="1:26" s="5" customFormat="1" ht="31.5" customHeight="1">
      <c r="A16" s="174" t="s">
        <v>108</v>
      </c>
      <c r="B16" s="174"/>
      <c r="C16" s="174"/>
      <c r="D16" s="174"/>
      <c r="E16" s="174"/>
      <c r="F16" s="174"/>
      <c r="G16" s="174"/>
      <c r="H16" s="174"/>
      <c r="I16" s="174"/>
      <c r="J16" s="174"/>
      <c r="K16" s="174"/>
      <c r="L16" s="174"/>
      <c r="M16" s="174"/>
      <c r="N16" s="174"/>
      <c r="O16" s="174"/>
      <c r="P16" s="174"/>
      <c r="Q16" s="174"/>
      <c r="R16" s="174"/>
      <c r="S16" s="174"/>
      <c r="T16" s="174"/>
      <c r="U16" s="174"/>
    </row>
    <row r="17" spans="1:19" s="5" customFormat="1" ht="17.25" customHeight="1">
      <c r="A17" s="6"/>
      <c r="B17" s="40"/>
      <c r="C17" s="40"/>
      <c r="D17" s="40"/>
      <c r="E17" s="40"/>
      <c r="F17" s="40"/>
      <c r="G17" s="40"/>
      <c r="H17" s="40"/>
      <c r="I17" s="40"/>
      <c r="J17" s="40"/>
      <c r="K17" s="40"/>
      <c r="L17" s="68"/>
      <c r="M17" s="68"/>
      <c r="N17" s="68"/>
      <c r="O17" s="68"/>
      <c r="P17" s="68"/>
      <c r="Q17" s="68"/>
      <c r="R17" s="68"/>
      <c r="S17" s="68"/>
    </row>
    <row r="18" spans="1:19" ht="14.25">
      <c r="A18" s="28" t="s">
        <v>40</v>
      </c>
      <c r="B18" s="29"/>
    </row>
    <row r="19" spans="1:19">
      <c r="A19" s="45" t="s">
        <v>53</v>
      </c>
    </row>
    <row r="20" spans="1:19">
      <c r="H20" s="81"/>
      <c r="I20" s="13"/>
      <c r="J20" s="13"/>
      <c r="K20" s="13"/>
      <c r="L20" s="82"/>
      <c r="M20" s="81"/>
      <c r="N20" s="13"/>
      <c r="O20" s="13"/>
      <c r="P20" s="13"/>
      <c r="Q20" s="82"/>
      <c r="R20" s="82"/>
      <c r="S20" s="82"/>
    </row>
    <row r="21" spans="1:19">
      <c r="H21" s="81"/>
      <c r="I21" s="13"/>
      <c r="J21" s="13"/>
      <c r="K21" s="13"/>
      <c r="L21" s="82"/>
      <c r="M21" s="81"/>
      <c r="N21" s="13"/>
      <c r="O21" s="13"/>
      <c r="P21" s="13"/>
      <c r="Q21" s="82"/>
      <c r="R21" s="82"/>
      <c r="S21" s="82"/>
    </row>
    <row r="22" spans="1:19">
      <c r="H22" s="81"/>
      <c r="I22" s="13"/>
      <c r="J22" s="13"/>
      <c r="K22" s="13"/>
      <c r="L22" s="82"/>
      <c r="M22" s="81"/>
      <c r="N22" s="13"/>
      <c r="O22" s="13"/>
      <c r="P22" s="13"/>
      <c r="Q22" s="82"/>
      <c r="R22" s="82"/>
      <c r="S22" s="82"/>
    </row>
    <row r="23" spans="1:19">
      <c r="H23" s="81"/>
      <c r="I23" s="13"/>
      <c r="J23" s="13"/>
      <c r="K23" s="13"/>
      <c r="L23" s="82"/>
      <c r="M23" s="81"/>
      <c r="N23" s="13"/>
      <c r="O23" s="13"/>
      <c r="P23" s="13"/>
      <c r="Q23" s="82"/>
      <c r="R23" s="82"/>
      <c r="S23" s="82"/>
    </row>
    <row r="24" spans="1:19">
      <c r="H24" s="81"/>
      <c r="I24" s="13"/>
      <c r="J24" s="13"/>
      <c r="K24" s="13"/>
      <c r="L24" s="82"/>
      <c r="M24" s="81"/>
      <c r="N24" s="13"/>
      <c r="O24" s="13"/>
      <c r="P24" s="13"/>
      <c r="Q24" s="82"/>
      <c r="R24" s="82"/>
      <c r="S24" s="82"/>
    </row>
    <row r="25" spans="1:19">
      <c r="H25" s="81"/>
      <c r="I25" s="13"/>
      <c r="J25" s="13"/>
      <c r="K25" s="13"/>
      <c r="L25" s="82"/>
      <c r="M25" s="81"/>
      <c r="N25" s="13"/>
      <c r="O25" s="13"/>
      <c r="P25" s="13"/>
      <c r="Q25" s="82"/>
      <c r="R25" s="82"/>
      <c r="S25" s="82"/>
    </row>
    <row r="26" spans="1:19">
      <c r="H26" s="81"/>
      <c r="I26" s="13"/>
      <c r="J26" s="13"/>
      <c r="K26" s="13"/>
      <c r="L26" s="82"/>
      <c r="M26" s="81"/>
      <c r="N26" s="13"/>
      <c r="O26" s="13"/>
      <c r="P26" s="13"/>
      <c r="Q26" s="82"/>
      <c r="R26" s="82"/>
      <c r="S26" s="82"/>
    </row>
    <row r="27" spans="1:19">
      <c r="H27" s="81"/>
      <c r="I27" s="13"/>
      <c r="J27" s="13"/>
      <c r="K27" s="13"/>
      <c r="L27" s="82"/>
      <c r="M27" s="81"/>
      <c r="N27" s="13"/>
      <c r="O27" s="13"/>
      <c r="P27" s="13"/>
      <c r="Q27" s="83"/>
      <c r="R27" s="83"/>
      <c r="S27" s="83"/>
    </row>
    <row r="28" spans="1:19">
      <c r="H28" s="81"/>
      <c r="I28" s="13"/>
      <c r="J28" s="13"/>
      <c r="K28" s="13"/>
      <c r="L28" s="83"/>
      <c r="M28" s="84"/>
      <c r="N28" s="13"/>
      <c r="O28" s="13"/>
      <c r="P28" s="13"/>
      <c r="Q28" s="85"/>
      <c r="R28" s="85"/>
      <c r="S28" s="85"/>
    </row>
    <row r="29" spans="1:19">
      <c r="H29" s="84"/>
      <c r="I29" s="13"/>
      <c r="J29" s="13"/>
      <c r="K29" s="13"/>
      <c r="L29" s="85"/>
      <c r="M29" s="84"/>
      <c r="N29" s="13"/>
      <c r="O29" s="13"/>
      <c r="P29" s="13"/>
      <c r="Q29" s="85"/>
      <c r="R29" s="85"/>
      <c r="S29" s="85"/>
    </row>
    <row r="30" spans="1:19">
      <c r="H30" s="13"/>
      <c r="I30" s="13"/>
      <c r="J30" s="13"/>
      <c r="K30" s="13"/>
      <c r="L30" s="13"/>
      <c r="M30" s="84"/>
      <c r="N30" s="13"/>
      <c r="O30" s="13"/>
      <c r="P30" s="13"/>
      <c r="Q30" s="85"/>
      <c r="R30" s="85"/>
      <c r="S30" s="85"/>
    </row>
    <row r="31" spans="1:19">
      <c r="H31" s="13"/>
      <c r="I31" s="13"/>
      <c r="J31" s="13"/>
      <c r="K31" s="13"/>
      <c r="L31" s="13"/>
      <c r="M31" s="84"/>
      <c r="N31" s="13"/>
      <c r="O31" s="13"/>
      <c r="P31" s="13"/>
      <c r="Q31" s="85"/>
      <c r="R31" s="85"/>
      <c r="S31" s="85"/>
    </row>
  </sheetData>
  <mergeCells count="2">
    <mergeCell ref="A16:U16"/>
    <mergeCell ref="A15:U15"/>
  </mergeCells>
  <phoneticPr fontId="0" type="noConversion"/>
  <printOptions horizontalCentered="1"/>
  <pageMargins left="0.75" right="0.75" top="0.39370078740157483" bottom="1" header="0" footer="0"/>
  <pageSetup paperSize="9" scale="97"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Z34"/>
  <sheetViews>
    <sheetView showGridLines="0" zoomScaleNormal="80" workbookViewId="0">
      <pane xSplit="8" ySplit="6" topLeftCell="P7" activePane="bottomRight" state="frozen"/>
      <selection activeCell="Y20" sqref="Y20"/>
      <selection pane="topRight" activeCell="Y20" sqref="Y20"/>
      <selection pane="bottomLeft" activeCell="Y20" sqref="Y20"/>
      <selection pane="bottomRight" activeCell="Z6" sqref="Z6"/>
    </sheetView>
  </sheetViews>
  <sheetFormatPr baseColWidth="10" defaultColWidth="11.42578125" defaultRowHeight="12.75"/>
  <cols>
    <col min="1" max="1" width="38.28515625" style="13" customWidth="1"/>
    <col min="2" max="2" width="8.42578125" style="12" hidden="1" customWidth="1"/>
    <col min="3" max="16" width="9.7109375" style="12" hidden="1" customWidth="1"/>
    <col min="17" max="20" width="9.7109375" style="12" customWidth="1"/>
    <col min="21" max="21" width="9.7109375" style="13" customWidth="1"/>
    <col min="22" max="26" width="9.7109375" style="12" customWidth="1"/>
    <col min="27" max="16384" width="11.42578125" style="12"/>
  </cols>
  <sheetData>
    <row r="1" spans="1:26" ht="24.95" customHeight="1">
      <c r="A1" s="104" t="s">
        <v>110</v>
      </c>
    </row>
    <row r="2" spans="1:26" ht="24.95" customHeight="1">
      <c r="A2" s="104" t="s">
        <v>111</v>
      </c>
    </row>
    <row r="3" spans="1:26" ht="24.95" customHeight="1">
      <c r="A3" s="12"/>
      <c r="T3" s="13"/>
      <c r="V3" s="13"/>
      <c r="W3" s="13"/>
    </row>
    <row r="4" spans="1:26" ht="20.100000000000001" customHeight="1">
      <c r="A4" s="41" t="s">
        <v>94</v>
      </c>
      <c r="B4" s="41"/>
      <c r="C4" s="41"/>
      <c r="D4" s="41"/>
      <c r="E4" s="41"/>
      <c r="F4" s="41"/>
      <c r="G4" s="41"/>
      <c r="H4" s="41"/>
      <c r="I4" s="41"/>
      <c r="J4" s="41"/>
      <c r="K4" s="41"/>
      <c r="L4" s="41"/>
      <c r="M4" s="41"/>
      <c r="N4" s="41"/>
      <c r="O4" s="41"/>
      <c r="P4" s="41"/>
      <c r="Q4" s="41"/>
      <c r="R4" s="41"/>
      <c r="S4" s="41"/>
      <c r="T4" s="41"/>
      <c r="U4" s="41"/>
      <c r="V4" s="41"/>
      <c r="W4" s="41"/>
      <c r="X4" s="41"/>
      <c r="Y4" s="41"/>
      <c r="Z4" s="41"/>
    </row>
    <row r="5" spans="1:26" ht="15.75" thickBot="1">
      <c r="A5" s="42" t="s">
        <v>0</v>
      </c>
      <c r="B5" s="42"/>
      <c r="C5" s="42"/>
      <c r="D5" s="42"/>
      <c r="E5" s="42"/>
      <c r="F5" s="42"/>
      <c r="G5" s="42"/>
      <c r="H5" s="42"/>
      <c r="I5" s="42"/>
      <c r="J5" s="42"/>
      <c r="K5" s="42"/>
      <c r="L5" s="42"/>
      <c r="M5" s="42"/>
      <c r="N5" s="42"/>
      <c r="O5" s="42"/>
      <c r="P5" s="42"/>
      <c r="Q5" s="42"/>
      <c r="R5" s="42"/>
      <c r="S5" s="42"/>
      <c r="T5" s="42"/>
      <c r="U5" s="42"/>
      <c r="V5" s="42"/>
      <c r="W5" s="42"/>
      <c r="X5" s="42"/>
      <c r="Y5" s="42"/>
      <c r="Z5" s="42"/>
    </row>
    <row r="6" spans="1:26" s="15" customFormat="1" ht="23.25" customHeight="1" thickBot="1">
      <c r="A6" s="43" t="s">
        <v>71</v>
      </c>
      <c r="B6" s="44" t="s">
        <v>1</v>
      </c>
      <c r="C6" s="44" t="s">
        <v>25</v>
      </c>
      <c r="D6" s="44" t="s">
        <v>2</v>
      </c>
      <c r="E6" s="44" t="s">
        <v>3</v>
      </c>
      <c r="F6" s="44" t="s">
        <v>4</v>
      </c>
      <c r="G6" s="44" t="s">
        <v>5</v>
      </c>
      <c r="H6" s="44" t="s">
        <v>6</v>
      </c>
      <c r="I6" s="44" t="s">
        <v>12</v>
      </c>
      <c r="J6" s="44" t="s">
        <v>7</v>
      </c>
      <c r="K6" s="44" t="s">
        <v>8</v>
      </c>
      <c r="L6" s="44" t="s">
        <v>55</v>
      </c>
      <c r="M6" s="55">
        <v>2006</v>
      </c>
      <c r="N6" s="55">
        <v>2007</v>
      </c>
      <c r="O6" s="55" t="s">
        <v>116</v>
      </c>
      <c r="P6" s="55">
        <v>2009</v>
      </c>
      <c r="Q6" s="55">
        <v>2010</v>
      </c>
      <c r="R6" s="55">
        <v>2011</v>
      </c>
      <c r="S6" s="55">
        <v>2012</v>
      </c>
      <c r="T6" s="96">
        <v>2013</v>
      </c>
      <c r="U6" s="96" t="s">
        <v>120</v>
      </c>
      <c r="V6" s="96">
        <v>2015</v>
      </c>
      <c r="W6" s="96">
        <v>2016</v>
      </c>
      <c r="X6" s="110" t="s">
        <v>114</v>
      </c>
      <c r="Y6" s="110" t="s">
        <v>115</v>
      </c>
      <c r="Z6" s="110" t="s">
        <v>434</v>
      </c>
    </row>
    <row r="7" spans="1:26" s="17" customFormat="1" ht="20.100000000000001" customHeight="1">
      <c r="A7" s="36" t="s">
        <v>112</v>
      </c>
      <c r="B7" s="30">
        <v>2703.55</v>
      </c>
      <c r="C7" s="30">
        <f>+C26/166.386</f>
        <v>7498.8821174858467</v>
      </c>
      <c r="D7" s="30">
        <f>1182</f>
        <v>1182</v>
      </c>
      <c r="E7" s="30">
        <f>1414</f>
        <v>1414</v>
      </c>
      <c r="F7" s="30">
        <f>1338</f>
        <v>1338</v>
      </c>
      <c r="G7" s="30">
        <f>1196</f>
        <v>1196</v>
      </c>
      <c r="H7" s="30">
        <f>1236</f>
        <v>1236</v>
      </c>
      <c r="I7" s="30">
        <f>86+1171</f>
        <v>1257</v>
      </c>
      <c r="J7" s="30">
        <f>115+1204</f>
        <v>1319</v>
      </c>
      <c r="K7" s="30">
        <f>120+1229</f>
        <v>1349</v>
      </c>
      <c r="L7" s="30">
        <f>135+953</f>
        <v>1088</v>
      </c>
      <c r="M7" s="30">
        <f>1761.93203+0.03005</f>
        <v>1761.96208</v>
      </c>
      <c r="N7" s="30">
        <f>0.03005+1885.54517</f>
        <v>1885.5752200000002</v>
      </c>
      <c r="O7" s="30">
        <v>2007.61</v>
      </c>
      <c r="P7" s="30">
        <v>2028.29</v>
      </c>
      <c r="Q7" s="30">
        <v>1537.0980099999999</v>
      </c>
      <c r="R7" s="30">
        <v>1414.29582</v>
      </c>
      <c r="S7" s="30">
        <v>1813.0941699999998</v>
      </c>
      <c r="T7" s="30">
        <v>1612.6738600000001</v>
      </c>
      <c r="U7" s="30">
        <v>2131.9837000000002</v>
      </c>
      <c r="V7" s="30">
        <v>1600.95201</v>
      </c>
      <c r="W7" s="30">
        <v>1687.92</v>
      </c>
      <c r="X7" s="30">
        <v>1582.9983</v>
      </c>
      <c r="Y7" s="30">
        <v>2218.3431299999997</v>
      </c>
      <c r="Z7" s="30">
        <v>2202.8816699999998</v>
      </c>
    </row>
    <row r="8" spans="1:26" s="17" customFormat="1" ht="20.100000000000001" customHeight="1">
      <c r="A8" s="36" t="s">
        <v>79</v>
      </c>
      <c r="B8" s="30">
        <v>23125.360000000001</v>
      </c>
      <c r="C8" s="30">
        <f>+C25/166.386</f>
        <v>26001.610712439749</v>
      </c>
      <c r="D8" s="30">
        <f t="shared" ref="D8:H12" si="0">+D25/166.386</f>
        <v>27814.719999999998</v>
      </c>
      <c r="E8" s="30">
        <f t="shared" si="0"/>
        <v>26641.929008450232</v>
      </c>
      <c r="F8" s="30">
        <f t="shared" si="0"/>
        <v>28932.734725277369</v>
      </c>
      <c r="G8" s="30">
        <f t="shared" si="0"/>
        <v>34547.660259877637</v>
      </c>
      <c r="H8" s="30">
        <f t="shared" si="0"/>
        <v>0</v>
      </c>
      <c r="I8" s="30">
        <v>25016.27</v>
      </c>
      <c r="J8" s="30">
        <v>28248.48</v>
      </c>
      <c r="K8" s="30">
        <v>29280.156999999999</v>
      </c>
      <c r="L8" s="30">
        <v>32432.566999999999</v>
      </c>
      <c r="M8" s="30">
        <v>35873.162929999999</v>
      </c>
      <c r="N8" s="30">
        <v>39479.226430000002</v>
      </c>
      <c r="O8" s="30">
        <v>43542.28</v>
      </c>
      <c r="P8" s="30">
        <v>43234.69</v>
      </c>
      <c r="Q8" s="30">
        <v>48470.203549999998</v>
      </c>
      <c r="R8" s="30">
        <v>21149.22536</v>
      </c>
      <c r="S8" s="30">
        <v>26032.594239999999</v>
      </c>
      <c r="T8" s="30">
        <v>23206.12902</v>
      </c>
      <c r="U8" s="30">
        <v>19565.162820000001</v>
      </c>
      <c r="V8" s="30">
        <v>20977.293679999999</v>
      </c>
      <c r="W8" s="30">
        <v>21823.18419</v>
      </c>
      <c r="X8" s="30">
        <v>22392.708360000001</v>
      </c>
      <c r="Y8" s="30">
        <v>23656.602360000001</v>
      </c>
      <c r="Z8" s="30">
        <v>23656.466359999999</v>
      </c>
    </row>
    <row r="9" spans="1:26" s="17" customFormat="1" ht="20.100000000000001" customHeight="1">
      <c r="A9" s="16" t="s">
        <v>80</v>
      </c>
      <c r="B9" s="30">
        <v>7160.25</v>
      </c>
      <c r="C9" s="30">
        <f>+C26/166.386</f>
        <v>7498.8821174858467</v>
      </c>
      <c r="D9" s="30">
        <f t="shared" si="0"/>
        <v>7950.6800000000012</v>
      </c>
      <c r="E9" s="30">
        <f t="shared" si="0"/>
        <v>8256.0131261043607</v>
      </c>
      <c r="F9" s="30">
        <f t="shared" si="0"/>
        <v>8770.8100441142888</v>
      </c>
      <c r="G9" s="30">
        <f t="shared" si="0"/>
        <v>9583.1500246414962</v>
      </c>
      <c r="H9" s="30">
        <f t="shared" si="0"/>
        <v>0</v>
      </c>
      <c r="I9" s="30">
        <v>10555.4</v>
      </c>
      <c r="J9" s="30">
        <v>11115.77</v>
      </c>
      <c r="K9" s="30">
        <v>10719.37</v>
      </c>
      <c r="L9" s="30">
        <v>11301.67245</v>
      </c>
      <c r="M9" s="30">
        <v>12999.00316</v>
      </c>
      <c r="N9" s="30">
        <v>13979.977870000001</v>
      </c>
      <c r="O9" s="30">
        <v>14931.87</v>
      </c>
      <c r="P9" s="30">
        <v>15097.86</v>
      </c>
      <c r="Q9" s="30">
        <v>13403.466369999998</v>
      </c>
      <c r="R9" s="30">
        <v>13804.219499999999</v>
      </c>
      <c r="S9" s="30">
        <v>15159.592570000001</v>
      </c>
      <c r="T9" s="30">
        <v>16037.666029999998</v>
      </c>
      <c r="U9" s="30">
        <v>16036.366039999999</v>
      </c>
      <c r="V9" s="30">
        <v>16343.586869999999</v>
      </c>
      <c r="W9" s="30">
        <v>16906.16821</v>
      </c>
      <c r="X9" s="30">
        <v>16659.049190000002</v>
      </c>
      <c r="Y9" s="30">
        <v>16862.910239999997</v>
      </c>
      <c r="Z9" s="30">
        <v>16859.04624</v>
      </c>
    </row>
    <row r="10" spans="1:26" s="17" customFormat="1" ht="20.100000000000001" customHeight="1">
      <c r="A10" s="16" t="s">
        <v>81</v>
      </c>
      <c r="B10" s="30">
        <v>5400.58</v>
      </c>
      <c r="C10" s="30">
        <f>+C27/166.386</f>
        <v>5387.2200786123831</v>
      </c>
      <c r="D10" s="30">
        <f t="shared" si="0"/>
        <v>5572.68</v>
      </c>
      <c r="E10" s="30">
        <f t="shared" si="0"/>
        <v>6056.3388746649362</v>
      </c>
      <c r="F10" s="30">
        <f t="shared" si="0"/>
        <v>6153.9312201747744</v>
      </c>
      <c r="G10" s="30">
        <f t="shared" si="0"/>
        <v>6543.4531751469476</v>
      </c>
      <c r="H10" s="30">
        <f t="shared" si="0"/>
        <v>0</v>
      </c>
      <c r="I10" s="30">
        <v>6937.57</v>
      </c>
      <c r="J10" s="30">
        <v>7419.47</v>
      </c>
      <c r="K10" s="30">
        <v>7065.5748800000001</v>
      </c>
      <c r="L10" s="30">
        <v>7166.2425599999997</v>
      </c>
      <c r="M10" s="30">
        <v>7396.15344</v>
      </c>
      <c r="N10" s="30">
        <v>7127.1279299999997</v>
      </c>
      <c r="O10" s="30">
        <v>7210.52</v>
      </c>
      <c r="P10" s="30">
        <v>7048.67</v>
      </c>
      <c r="Q10" s="30">
        <v>7014.1863099999991</v>
      </c>
      <c r="R10" s="30">
        <v>6928.8806100000002</v>
      </c>
      <c r="S10" s="30">
        <v>6631.3661300000003</v>
      </c>
      <c r="T10" s="30">
        <v>6470.3314700000001</v>
      </c>
      <c r="U10" s="30">
        <v>6093.9409599999999</v>
      </c>
      <c r="V10" s="30">
        <v>6141.8296</v>
      </c>
      <c r="W10" s="30">
        <v>6308.5672599999998</v>
      </c>
      <c r="X10" s="30">
        <v>6305.3858499999997</v>
      </c>
      <c r="Y10" s="30">
        <v>6956.741</v>
      </c>
      <c r="Z10" s="30">
        <v>6951.7309999999998</v>
      </c>
    </row>
    <row r="11" spans="1:26" s="17" customFormat="1" ht="20.100000000000001" customHeight="1">
      <c r="A11" s="16" t="s">
        <v>82</v>
      </c>
      <c r="B11" s="30">
        <v>61866.49</v>
      </c>
      <c r="C11" s="30">
        <f>+C28/166.386</f>
        <v>62952.075294796436</v>
      </c>
      <c r="D11" s="30">
        <f t="shared" si="0"/>
        <v>64538.99</v>
      </c>
      <c r="E11" s="30">
        <f t="shared" si="0"/>
        <v>67621.753032106062</v>
      </c>
      <c r="F11" s="30">
        <f t="shared" si="0"/>
        <v>70976.470376113371</v>
      </c>
      <c r="G11" s="30">
        <f t="shared" si="0"/>
        <v>73867.320567836243</v>
      </c>
      <c r="H11" s="30">
        <f t="shared" si="0"/>
        <v>0</v>
      </c>
      <c r="I11" s="30">
        <v>82619.08</v>
      </c>
      <c r="J11" s="30">
        <v>86598.04</v>
      </c>
      <c r="K11" s="30">
        <v>92604.03</v>
      </c>
      <c r="L11" s="30">
        <v>99983.786999999997</v>
      </c>
      <c r="M11" s="30">
        <v>107062.27551000001</v>
      </c>
      <c r="N11" s="30">
        <v>116588.28997</v>
      </c>
      <c r="O11" s="30">
        <v>125154.36</v>
      </c>
      <c r="P11" s="30">
        <v>136771.03</v>
      </c>
      <c r="Q11" s="30">
        <v>149930.32025999998</v>
      </c>
      <c r="R11" s="30">
        <v>152417.41312000001</v>
      </c>
      <c r="S11" s="30">
        <v>151732.85871</v>
      </c>
      <c r="T11" s="30">
        <v>153336.00486000002</v>
      </c>
      <c r="U11" s="30">
        <v>173343.92975000001</v>
      </c>
      <c r="V11" s="30">
        <v>172760.88746999999</v>
      </c>
      <c r="W11" s="30">
        <v>172086.32663</v>
      </c>
      <c r="X11" s="30">
        <v>176812.27996000001</v>
      </c>
      <c r="Y11" s="30">
        <v>182473.83866000001</v>
      </c>
      <c r="Z11" s="30">
        <v>182473.83866000001</v>
      </c>
    </row>
    <row r="12" spans="1:26" s="17" customFormat="1" ht="20.100000000000001" customHeight="1">
      <c r="A12" s="16" t="s">
        <v>83</v>
      </c>
      <c r="B12" s="30">
        <v>5532.58</v>
      </c>
      <c r="C12" s="30">
        <f>+C29/166.386</f>
        <v>5407.3299436250645</v>
      </c>
      <c r="D12" s="30">
        <f t="shared" si="0"/>
        <v>6130.77</v>
      </c>
      <c r="E12" s="30">
        <f t="shared" si="0"/>
        <v>6087.9280708713477</v>
      </c>
      <c r="F12" s="30">
        <f t="shared" si="0"/>
        <v>6610.7905713221062</v>
      </c>
      <c r="G12" s="30">
        <f t="shared" si="0"/>
        <v>7235.3924008029526</v>
      </c>
      <c r="H12" s="30">
        <f t="shared" si="0"/>
        <v>0</v>
      </c>
      <c r="I12" s="30">
        <v>8495.52</v>
      </c>
      <c r="J12" s="30">
        <v>8957</v>
      </c>
      <c r="K12" s="30">
        <v>9713.07</v>
      </c>
      <c r="L12" s="30">
        <v>10543.078</v>
      </c>
      <c r="M12" s="30">
        <v>11545.14899</v>
      </c>
      <c r="N12" s="30">
        <v>12347.58275</v>
      </c>
      <c r="O12" s="30">
        <v>13197.07222</v>
      </c>
      <c r="P12" s="30">
        <v>13140.67</v>
      </c>
      <c r="Q12" s="30">
        <v>13134.32907</v>
      </c>
      <c r="R12" s="30">
        <v>12648.844150000001</v>
      </c>
      <c r="S12" s="30">
        <v>12685.34007</v>
      </c>
      <c r="T12" s="30">
        <v>12608.23452</v>
      </c>
      <c r="U12" s="30">
        <v>13954.37551</v>
      </c>
      <c r="V12" s="30">
        <v>13758.576289999999</v>
      </c>
      <c r="W12" s="30">
        <v>14868.90143</v>
      </c>
      <c r="X12" s="30">
        <v>14123.51462</v>
      </c>
      <c r="Y12" s="30">
        <v>14255.221029999999</v>
      </c>
      <c r="Z12" s="30">
        <v>14253.670609999999</v>
      </c>
    </row>
    <row r="13" spans="1:26" s="25" customFormat="1" ht="23.1" customHeight="1">
      <c r="A13" s="35" t="s">
        <v>84</v>
      </c>
      <c r="B13" s="34">
        <f t="shared" ref="B13:T13" si="1">SUM(B7:B12)</f>
        <v>105788.81000000001</v>
      </c>
      <c r="C13" s="34">
        <f t="shared" si="1"/>
        <v>114746.00026444533</v>
      </c>
      <c r="D13" s="34">
        <f t="shared" si="1"/>
        <v>113189.84000000001</v>
      </c>
      <c r="E13" s="34">
        <f t="shared" si="1"/>
        <v>116077.96211219694</v>
      </c>
      <c r="F13" s="34">
        <f t="shared" si="1"/>
        <v>122782.73693700192</v>
      </c>
      <c r="G13" s="34">
        <f t="shared" si="1"/>
        <v>132972.97642830526</v>
      </c>
      <c r="H13" s="34">
        <f t="shared" si="1"/>
        <v>1236</v>
      </c>
      <c r="I13" s="34">
        <f t="shared" si="1"/>
        <v>134880.84</v>
      </c>
      <c r="J13" s="34">
        <f t="shared" si="1"/>
        <v>143657.76</v>
      </c>
      <c r="K13" s="34">
        <f t="shared" si="1"/>
        <v>150731.20188000001</v>
      </c>
      <c r="L13" s="34">
        <f t="shared" si="1"/>
        <v>162515.34701</v>
      </c>
      <c r="M13" s="34">
        <f t="shared" si="1"/>
        <v>176637.70611</v>
      </c>
      <c r="N13" s="34">
        <f t="shared" si="1"/>
        <v>191407.78017000001</v>
      </c>
      <c r="O13" s="34">
        <f t="shared" si="1"/>
        <v>206043.71222000002</v>
      </c>
      <c r="P13" s="34">
        <f t="shared" si="1"/>
        <v>217321.21000000002</v>
      </c>
      <c r="Q13" s="34">
        <f t="shared" si="1"/>
        <v>233489.60357000001</v>
      </c>
      <c r="R13" s="34">
        <f t="shared" si="1"/>
        <v>208362.87856000001</v>
      </c>
      <c r="S13" s="34">
        <f t="shared" si="1"/>
        <v>214054.84589</v>
      </c>
      <c r="T13" s="34">
        <f t="shared" si="1"/>
        <v>213271.03976000001</v>
      </c>
      <c r="U13" s="34">
        <f t="shared" ref="U13:Z13" si="2">SUM(U7:U12)</f>
        <v>231125.75878000003</v>
      </c>
      <c r="V13" s="34">
        <f t="shared" si="2"/>
        <v>231583.12591999996</v>
      </c>
      <c r="W13" s="34">
        <f t="shared" si="2"/>
        <v>233681.06771999999</v>
      </c>
      <c r="X13" s="34">
        <f t="shared" si="2"/>
        <v>237875.93628000002</v>
      </c>
      <c r="Y13" s="34">
        <f t="shared" si="2"/>
        <v>246423.65641999998</v>
      </c>
      <c r="Z13" s="34">
        <f t="shared" si="2"/>
        <v>246397.63454</v>
      </c>
    </row>
    <row r="14" spans="1:26" s="25" customFormat="1" ht="14.25" customHeight="1">
      <c r="A14" s="16"/>
      <c r="B14" s="51"/>
      <c r="C14" s="51"/>
      <c r="D14" s="51"/>
      <c r="E14" s="51"/>
      <c r="F14" s="51"/>
      <c r="G14" s="51"/>
      <c r="H14" s="51"/>
      <c r="I14" s="51"/>
      <c r="J14" s="51"/>
      <c r="K14" s="51"/>
      <c r="L14" s="51"/>
      <c r="M14" s="51"/>
      <c r="N14" s="51"/>
      <c r="O14" s="51"/>
      <c r="P14" s="51"/>
      <c r="Q14" s="51"/>
      <c r="R14" s="51"/>
      <c r="S14" s="51"/>
      <c r="T14" s="13"/>
      <c r="U14" s="91"/>
      <c r="V14" s="90"/>
      <c r="W14" s="90"/>
    </row>
    <row r="15" spans="1:26" s="5" customFormat="1" ht="17.25" customHeight="1">
      <c r="B15" s="40"/>
      <c r="C15" s="40"/>
      <c r="D15" s="40"/>
      <c r="E15" s="40"/>
      <c r="F15" s="40"/>
      <c r="G15" s="40"/>
      <c r="H15" s="40"/>
      <c r="I15" s="40"/>
      <c r="J15" s="40"/>
      <c r="K15" s="40"/>
      <c r="L15" s="68"/>
      <c r="M15" s="68"/>
      <c r="N15" s="68"/>
      <c r="O15" s="6" t="s">
        <v>121</v>
      </c>
      <c r="P15" s="68"/>
      <c r="Q15" s="68"/>
      <c r="R15" s="68"/>
      <c r="S15" s="68"/>
      <c r="T15" s="13"/>
      <c r="U15" s="94"/>
      <c r="V15" s="69"/>
      <c r="W15" s="69"/>
    </row>
    <row r="16" spans="1:26" s="5" customFormat="1" ht="19.5" customHeight="1">
      <c r="A16" s="174" t="s">
        <v>122</v>
      </c>
      <c r="B16" s="174"/>
      <c r="C16" s="174"/>
      <c r="D16" s="174"/>
      <c r="E16" s="174"/>
      <c r="F16" s="174"/>
      <c r="G16" s="174"/>
      <c r="H16" s="174"/>
      <c r="I16" s="174"/>
      <c r="J16" s="174"/>
      <c r="K16" s="174"/>
      <c r="L16" s="174"/>
      <c r="M16" s="174"/>
      <c r="N16" s="174"/>
      <c r="O16" s="174"/>
      <c r="P16" s="174"/>
      <c r="Q16" s="174"/>
      <c r="R16" s="174"/>
      <c r="S16" s="174"/>
      <c r="T16" s="174"/>
      <c r="U16" s="174"/>
      <c r="V16" s="69"/>
      <c r="W16" s="69"/>
    </row>
    <row r="17" spans="1:23" s="5" customFormat="1" ht="17.25" customHeight="1">
      <c r="A17" s="6"/>
      <c r="B17" s="40"/>
      <c r="C17" s="40"/>
      <c r="D17" s="40"/>
      <c r="E17" s="40"/>
      <c r="F17" s="40"/>
      <c r="G17" s="40"/>
      <c r="H17" s="40"/>
      <c r="I17" s="40"/>
      <c r="J17" s="40"/>
      <c r="K17" s="40"/>
      <c r="L17" s="68"/>
      <c r="M17" s="68"/>
      <c r="N17" s="68"/>
      <c r="O17" s="68"/>
      <c r="P17" s="68"/>
      <c r="Q17" s="68"/>
      <c r="R17" s="68"/>
      <c r="S17" s="68"/>
      <c r="T17" s="13"/>
      <c r="U17" s="94"/>
      <c r="V17" s="69"/>
      <c r="W17" s="69"/>
    </row>
    <row r="18" spans="1:23" ht="14.25">
      <c r="A18" s="28" t="s">
        <v>40</v>
      </c>
      <c r="B18" s="29"/>
      <c r="T18" s="13"/>
      <c r="V18" s="13"/>
      <c r="W18" s="13"/>
    </row>
    <row r="19" spans="1:23">
      <c r="A19" s="45" t="s">
        <v>53</v>
      </c>
      <c r="H19" s="81"/>
      <c r="I19" s="82"/>
      <c r="J19" s="82"/>
      <c r="K19" s="82"/>
      <c r="L19" s="82"/>
      <c r="T19" s="13"/>
      <c r="V19" s="13"/>
      <c r="W19" s="13"/>
    </row>
    <row r="20" spans="1:23" ht="11.25" customHeight="1">
      <c r="A20" s="71"/>
      <c r="H20" s="81"/>
      <c r="I20" s="82"/>
      <c r="J20" s="82"/>
      <c r="K20" s="82"/>
      <c r="L20" s="82"/>
      <c r="N20" s="13"/>
      <c r="O20" s="13"/>
      <c r="P20" s="13"/>
      <c r="Q20" s="13"/>
      <c r="R20" s="13"/>
      <c r="S20" s="13"/>
      <c r="T20" s="13"/>
      <c r="V20" s="13"/>
      <c r="W20" s="13"/>
    </row>
    <row r="21" spans="1:23" ht="15" hidden="1">
      <c r="A21" s="52" t="s">
        <v>47</v>
      </c>
      <c r="B21" s="13"/>
      <c r="C21" s="13"/>
      <c r="D21" s="13"/>
      <c r="E21" s="13"/>
      <c r="F21" s="13"/>
      <c r="G21" s="13"/>
      <c r="H21" s="86"/>
      <c r="I21" s="87"/>
      <c r="J21" s="87"/>
      <c r="K21" s="87"/>
      <c r="L21" s="88"/>
      <c r="M21" s="13"/>
      <c r="N21" s="13"/>
      <c r="O21" s="13"/>
      <c r="P21" s="13"/>
      <c r="Q21" s="13"/>
      <c r="R21" s="13"/>
      <c r="S21" s="13"/>
      <c r="T21" s="13"/>
      <c r="V21" s="13"/>
      <c r="W21" s="13"/>
    </row>
    <row r="22" spans="1:23" s="15" customFormat="1" ht="23.25" hidden="1" customHeight="1">
      <c r="A22" s="53" t="s">
        <v>71</v>
      </c>
      <c r="B22" s="14" t="s">
        <v>1</v>
      </c>
      <c r="C22" s="14" t="s">
        <v>25</v>
      </c>
      <c r="D22" s="14" t="s">
        <v>2</v>
      </c>
      <c r="E22" s="14" t="s">
        <v>3</v>
      </c>
      <c r="F22" s="14" t="s">
        <v>4</v>
      </c>
      <c r="G22" s="14" t="s">
        <v>5</v>
      </c>
      <c r="H22" s="73"/>
      <c r="I22" s="74"/>
      <c r="J22" s="74"/>
      <c r="K22" s="74"/>
      <c r="L22" s="75"/>
      <c r="M22" s="50"/>
      <c r="N22" s="50"/>
      <c r="O22" s="50"/>
      <c r="P22" s="50"/>
      <c r="Q22" s="50"/>
      <c r="R22" s="50"/>
      <c r="S22" s="50"/>
    </row>
    <row r="23" spans="1:23" s="17" customFormat="1" ht="20.100000000000001" hidden="1" customHeight="1">
      <c r="A23" s="36" t="s">
        <v>77</v>
      </c>
      <c r="B23" s="30"/>
      <c r="C23" s="30"/>
      <c r="D23" s="30"/>
      <c r="E23" s="30"/>
      <c r="F23" s="30"/>
      <c r="G23" s="30"/>
      <c r="H23" s="73"/>
      <c r="I23" s="74"/>
      <c r="J23" s="74"/>
      <c r="K23" s="74"/>
      <c r="L23" s="75"/>
      <c r="M23" s="30"/>
      <c r="N23" s="30"/>
      <c r="O23" s="30"/>
      <c r="P23" s="30"/>
      <c r="Q23" s="30"/>
      <c r="R23" s="30"/>
      <c r="S23" s="30"/>
      <c r="T23" s="89"/>
      <c r="U23" s="89"/>
      <c r="V23" s="89"/>
      <c r="W23" s="89"/>
    </row>
    <row r="24" spans="1:23" s="17" customFormat="1" ht="20.100000000000001" hidden="1" customHeight="1">
      <c r="A24" s="36" t="s">
        <v>78</v>
      </c>
      <c r="B24" s="30">
        <v>562154</v>
      </c>
      <c r="C24" s="30">
        <v>312601</v>
      </c>
      <c r="D24" s="30">
        <f>1181.71*166.386</f>
        <v>196620.00005999999</v>
      </c>
      <c r="E24" s="30">
        <v>235208</v>
      </c>
      <c r="F24" s="30">
        <v>222702</v>
      </c>
      <c r="G24" s="30">
        <v>198935</v>
      </c>
      <c r="H24" s="73"/>
      <c r="I24" s="74"/>
      <c r="J24" s="74"/>
      <c r="K24" s="74"/>
      <c r="L24" s="75"/>
      <c r="M24" s="30"/>
      <c r="N24" s="30"/>
      <c r="O24" s="30"/>
      <c r="P24" s="30"/>
      <c r="Q24" s="30"/>
      <c r="R24" s="30"/>
      <c r="S24" s="30"/>
      <c r="T24" s="89"/>
      <c r="U24" s="89"/>
      <c r="V24" s="89"/>
      <c r="W24" s="89"/>
    </row>
    <row r="25" spans="1:23" s="17" customFormat="1" ht="20.100000000000001" hidden="1" customHeight="1">
      <c r="A25" s="16" t="s">
        <v>79</v>
      </c>
      <c r="B25" s="30">
        <v>1983309</v>
      </c>
      <c r="C25" s="30">
        <v>4326304</v>
      </c>
      <c r="D25" s="30">
        <f>27814.72*166.386</f>
        <v>4627980.0019199997</v>
      </c>
      <c r="E25" s="30">
        <v>4432844</v>
      </c>
      <c r="F25" s="30">
        <v>4814002</v>
      </c>
      <c r="G25" s="30">
        <v>5748247</v>
      </c>
      <c r="H25" s="73"/>
      <c r="I25" s="74"/>
      <c r="J25" s="74"/>
      <c r="K25" s="74"/>
      <c r="L25" s="75"/>
      <c r="M25" s="30"/>
      <c r="N25" s="30"/>
      <c r="O25" s="30"/>
      <c r="P25" s="30"/>
      <c r="Q25" s="30"/>
      <c r="R25" s="30"/>
      <c r="S25" s="30"/>
      <c r="T25" s="89"/>
      <c r="U25" s="89"/>
      <c r="V25" s="89"/>
      <c r="W25" s="89"/>
    </row>
    <row r="26" spans="1:23" s="17" customFormat="1" ht="20.100000000000001" hidden="1" customHeight="1">
      <c r="A26" s="16" t="s">
        <v>80</v>
      </c>
      <c r="B26" s="30">
        <v>1164455</v>
      </c>
      <c r="C26" s="30">
        <v>1247709</v>
      </c>
      <c r="D26" s="30">
        <f>7950.68*166.386</f>
        <v>1322881.8424800001</v>
      </c>
      <c r="E26" s="30">
        <v>1373685</v>
      </c>
      <c r="F26" s="30">
        <v>1459340</v>
      </c>
      <c r="G26" s="30">
        <v>1594502</v>
      </c>
      <c r="H26" s="73"/>
      <c r="I26" s="74"/>
      <c r="J26" s="74"/>
      <c r="K26" s="74"/>
      <c r="L26" s="75"/>
      <c r="M26" s="30"/>
      <c r="N26" s="30"/>
      <c r="O26" s="30"/>
      <c r="P26" s="30"/>
      <c r="Q26" s="30"/>
      <c r="R26" s="30"/>
      <c r="S26" s="30"/>
      <c r="T26" s="89"/>
      <c r="U26" s="89"/>
      <c r="V26" s="89"/>
      <c r="W26" s="89"/>
    </row>
    <row r="27" spans="1:23" s="17" customFormat="1" ht="20.100000000000001" hidden="1" customHeight="1">
      <c r="A27" s="16" t="s">
        <v>81</v>
      </c>
      <c r="B27" s="30">
        <v>25724</v>
      </c>
      <c r="C27" s="30">
        <v>896358</v>
      </c>
      <c r="D27" s="30">
        <f>5572.68*166.386</f>
        <v>927215.93448000005</v>
      </c>
      <c r="E27" s="30">
        <v>1007690</v>
      </c>
      <c r="F27" s="30">
        <v>1023928</v>
      </c>
      <c r="G27" s="30">
        <v>1088739</v>
      </c>
      <c r="H27" s="73"/>
      <c r="I27" s="76"/>
      <c r="J27" s="76"/>
      <c r="K27" s="76"/>
      <c r="L27" s="77"/>
      <c r="M27" s="30"/>
      <c r="N27" s="30"/>
      <c r="O27" s="30"/>
      <c r="P27" s="30"/>
      <c r="Q27" s="30"/>
      <c r="R27" s="30"/>
      <c r="S27" s="30"/>
      <c r="T27" s="89"/>
      <c r="U27" s="89"/>
      <c r="V27" s="89"/>
      <c r="W27" s="89"/>
    </row>
    <row r="28" spans="1:23" s="17" customFormat="1" ht="20.100000000000001" hidden="1" customHeight="1">
      <c r="A28" s="16" t="s">
        <v>82</v>
      </c>
      <c r="B28" s="30">
        <v>493787</v>
      </c>
      <c r="C28" s="30">
        <v>10474344</v>
      </c>
      <c r="D28" s="30">
        <f>64538.99*166.386</f>
        <v>10738384.390139999</v>
      </c>
      <c r="E28" s="30">
        <v>11251313</v>
      </c>
      <c r="F28" s="30">
        <v>11809491</v>
      </c>
      <c r="G28" s="30">
        <v>12290488</v>
      </c>
      <c r="H28" s="78"/>
      <c r="I28" s="79"/>
      <c r="J28" s="79"/>
      <c r="K28" s="79"/>
      <c r="L28" s="80"/>
      <c r="M28" s="30"/>
      <c r="N28" s="30"/>
      <c r="O28" s="30"/>
      <c r="P28" s="30"/>
      <c r="Q28" s="30"/>
      <c r="R28" s="30"/>
      <c r="S28" s="30"/>
      <c r="T28" s="89"/>
      <c r="U28" s="89"/>
      <c r="V28" s="89"/>
      <c r="W28" s="89"/>
    </row>
    <row r="29" spans="1:23" s="17" customFormat="1" ht="20.100000000000001" hidden="1" customHeight="1">
      <c r="A29" s="16" t="s">
        <v>83</v>
      </c>
      <c r="B29" s="30">
        <v>908700</v>
      </c>
      <c r="C29" s="30">
        <v>899704</v>
      </c>
      <c r="D29" s="30">
        <f>6130.77*166.386</f>
        <v>1020074.2972200001</v>
      </c>
      <c r="E29" s="30">
        <v>1012946</v>
      </c>
      <c r="F29" s="30">
        <v>1099943</v>
      </c>
      <c r="G29" s="30">
        <v>1203868</v>
      </c>
      <c r="H29" s="30"/>
      <c r="I29" s="30"/>
      <c r="J29" s="30"/>
      <c r="K29" s="30"/>
      <c r="L29" s="30"/>
      <c r="M29" s="30"/>
      <c r="N29" s="30"/>
      <c r="O29" s="30"/>
      <c r="P29" s="30"/>
      <c r="Q29" s="30"/>
      <c r="R29" s="30"/>
      <c r="S29" s="30"/>
      <c r="T29" s="89"/>
      <c r="U29" s="89"/>
      <c r="V29" s="89"/>
      <c r="W29" s="89"/>
    </row>
    <row r="30" spans="1:23" s="25" customFormat="1" ht="23.1" hidden="1" customHeight="1">
      <c r="A30" s="35" t="s">
        <v>84</v>
      </c>
      <c r="B30" s="34">
        <f t="shared" ref="B30:G30" si="3">SUM(B23:B29)</f>
        <v>5138129</v>
      </c>
      <c r="C30" s="34">
        <f t="shared" si="3"/>
        <v>18157020</v>
      </c>
      <c r="D30" s="34">
        <f t="shared" si="3"/>
        <v>18833156.466299996</v>
      </c>
      <c r="E30" s="34">
        <f t="shared" si="3"/>
        <v>19313686</v>
      </c>
      <c r="F30" s="34">
        <f t="shared" si="3"/>
        <v>20429406</v>
      </c>
      <c r="G30" s="34">
        <f t="shared" si="3"/>
        <v>22124779</v>
      </c>
      <c r="H30" s="34"/>
      <c r="I30" s="54"/>
      <c r="J30" s="54"/>
      <c r="K30" s="54"/>
      <c r="L30" s="54"/>
      <c r="M30" s="54"/>
      <c r="N30" s="54"/>
      <c r="O30" s="54"/>
      <c r="P30" s="54"/>
      <c r="Q30" s="54"/>
      <c r="R30" s="54"/>
      <c r="S30" s="54"/>
      <c r="T30" s="90"/>
      <c r="U30" s="90"/>
      <c r="V30" s="90"/>
      <c r="W30" s="90"/>
    </row>
    <row r="31" spans="1:23" hidden="1">
      <c r="A31" s="26"/>
      <c r="B31" s="27"/>
      <c r="C31" s="27"/>
      <c r="D31" s="27"/>
      <c r="E31" s="27"/>
      <c r="F31" s="27"/>
      <c r="G31" s="27"/>
      <c r="H31" s="27"/>
      <c r="I31" s="27"/>
      <c r="J31" s="27"/>
      <c r="K31" s="27"/>
      <c r="L31" s="27"/>
      <c r="M31" s="27"/>
      <c r="N31" s="27"/>
      <c r="O31" s="27"/>
      <c r="P31" s="27"/>
      <c r="Q31" s="27"/>
      <c r="R31" s="27"/>
      <c r="S31" s="27"/>
      <c r="T31" s="13"/>
      <c r="V31" s="13"/>
      <c r="W31" s="13"/>
    </row>
    <row r="32" spans="1:23" ht="14.25" hidden="1">
      <c r="A32" s="28" t="s">
        <v>40</v>
      </c>
      <c r="B32" s="29"/>
      <c r="T32" s="13"/>
      <c r="V32" s="13"/>
      <c r="W32" s="13"/>
    </row>
    <row r="33" spans="1:23" hidden="1">
      <c r="A33" s="45" t="s">
        <v>53</v>
      </c>
      <c r="T33" s="13"/>
      <c r="V33" s="13"/>
      <c r="W33" s="13"/>
    </row>
    <row r="34" spans="1:23" ht="35.25" customHeight="1">
      <c r="T34" s="13"/>
      <c r="V34" s="13"/>
      <c r="W34" s="13"/>
    </row>
  </sheetData>
  <mergeCells count="1">
    <mergeCell ref="A16:U16"/>
  </mergeCells>
  <phoneticPr fontId="0" type="noConversion"/>
  <printOptions horizontalCentered="1"/>
  <pageMargins left="0.75" right="0.75" top="0.39370078740157483" bottom="1" header="0" footer="0"/>
  <pageSetup paperSize="9" scale="97"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Z33"/>
  <sheetViews>
    <sheetView showGridLines="0" zoomScaleNormal="100" workbookViewId="0">
      <pane xSplit="8" ySplit="6" topLeftCell="M7" activePane="bottomRight" state="frozen"/>
      <selection activeCell="Y20" sqref="Y20"/>
      <selection pane="topRight" activeCell="Y20" sqref="Y20"/>
      <selection pane="bottomLeft" activeCell="Y20" sqref="Y20"/>
      <selection pane="bottomRight" activeCell="Z6" sqref="Z6"/>
    </sheetView>
  </sheetViews>
  <sheetFormatPr baseColWidth="10" defaultColWidth="11.42578125" defaultRowHeight="12.75"/>
  <cols>
    <col min="1" max="1" width="38.5703125" style="13" customWidth="1"/>
    <col min="2" max="2" width="7.28515625" style="12" hidden="1" customWidth="1"/>
    <col min="3" max="12" width="9.7109375" style="12" hidden="1" customWidth="1"/>
    <col min="13" max="13" width="0.7109375" style="12" hidden="1" customWidth="1"/>
    <col min="14" max="16" width="9.7109375" style="12" hidden="1" customWidth="1"/>
    <col min="17" max="17" width="9.7109375" style="12" customWidth="1"/>
    <col min="18" max="19" width="9.85546875" style="12" customWidth="1"/>
    <col min="20" max="26" width="9.7109375" style="12" customWidth="1"/>
    <col min="27" max="16384" width="11.42578125" style="12"/>
  </cols>
  <sheetData>
    <row r="1" spans="1:26" ht="24.95" customHeight="1">
      <c r="A1" s="104" t="s">
        <v>110</v>
      </c>
    </row>
    <row r="2" spans="1:26" ht="24.95" customHeight="1">
      <c r="A2" s="104" t="s">
        <v>111</v>
      </c>
    </row>
    <row r="3" spans="1:26" ht="24.95" customHeight="1">
      <c r="A3" s="12"/>
    </row>
    <row r="4" spans="1:26" ht="20.100000000000001" customHeight="1">
      <c r="A4" s="41" t="s">
        <v>95</v>
      </c>
      <c r="B4" s="41"/>
      <c r="C4" s="41"/>
      <c r="D4" s="41"/>
      <c r="E4" s="41"/>
      <c r="F4" s="41"/>
      <c r="G4" s="41"/>
      <c r="H4" s="41"/>
      <c r="I4" s="41"/>
      <c r="J4" s="41"/>
      <c r="K4" s="41"/>
      <c r="L4" s="41"/>
      <c r="M4" s="41"/>
      <c r="N4" s="41"/>
      <c r="O4" s="41"/>
      <c r="P4" s="41"/>
      <c r="Q4" s="41"/>
      <c r="R4" s="41"/>
      <c r="S4" s="41"/>
      <c r="T4" s="41"/>
      <c r="U4" s="41"/>
      <c r="V4" s="41"/>
      <c r="W4" s="41"/>
      <c r="X4" s="41"/>
      <c r="Y4" s="41"/>
      <c r="Z4" s="41"/>
    </row>
    <row r="5" spans="1:26" ht="15.75" thickBot="1">
      <c r="A5" s="42" t="s">
        <v>0</v>
      </c>
      <c r="B5" s="42"/>
      <c r="C5" s="42"/>
      <c r="D5" s="42"/>
      <c r="E5" s="42"/>
      <c r="F5" s="42"/>
      <c r="G5" s="42"/>
      <c r="H5" s="42"/>
      <c r="I5" s="42"/>
      <c r="J5" s="42"/>
      <c r="K5" s="42"/>
      <c r="L5" s="42"/>
      <c r="M5" s="42"/>
      <c r="N5" s="42"/>
      <c r="O5" s="42"/>
      <c r="P5" s="42"/>
      <c r="Q5" s="42"/>
      <c r="R5" s="42"/>
      <c r="S5" s="42"/>
      <c r="T5" s="42"/>
      <c r="U5" s="42"/>
      <c r="V5" s="42"/>
      <c r="W5" s="42"/>
      <c r="X5" s="42"/>
      <c r="Y5" s="42"/>
      <c r="Z5" s="42"/>
    </row>
    <row r="6" spans="1:26" s="15" customFormat="1" ht="23.25" customHeight="1" thickBot="1">
      <c r="A6" s="43" t="s">
        <v>71</v>
      </c>
      <c r="B6" s="44" t="s">
        <v>1</v>
      </c>
      <c r="C6" s="44" t="s">
        <v>25</v>
      </c>
      <c r="D6" s="44" t="s">
        <v>2</v>
      </c>
      <c r="E6" s="44" t="s">
        <v>3</v>
      </c>
      <c r="F6" s="44" t="s">
        <v>4</v>
      </c>
      <c r="G6" s="44" t="s">
        <v>5</v>
      </c>
      <c r="H6" s="44" t="s">
        <v>6</v>
      </c>
      <c r="I6" s="44" t="s">
        <v>12</v>
      </c>
      <c r="J6" s="44" t="s">
        <v>7</v>
      </c>
      <c r="K6" s="44" t="s">
        <v>8</v>
      </c>
      <c r="L6" s="44" t="s">
        <v>55</v>
      </c>
      <c r="M6" s="55">
        <v>2006</v>
      </c>
      <c r="N6" s="55">
        <v>2007</v>
      </c>
      <c r="O6" s="55" t="s">
        <v>116</v>
      </c>
      <c r="P6" s="55">
        <v>2009</v>
      </c>
      <c r="Q6" s="55">
        <v>2010</v>
      </c>
      <c r="R6" s="55">
        <v>2011</v>
      </c>
      <c r="S6" s="96">
        <v>2012</v>
      </c>
      <c r="T6" s="96" t="s">
        <v>119</v>
      </c>
      <c r="U6" s="96">
        <v>2014</v>
      </c>
      <c r="V6" s="96">
        <v>2015</v>
      </c>
      <c r="W6" s="96">
        <v>2016</v>
      </c>
      <c r="X6" s="110" t="s">
        <v>114</v>
      </c>
      <c r="Y6" s="110" t="s">
        <v>115</v>
      </c>
      <c r="Z6" s="110" t="s">
        <v>434</v>
      </c>
    </row>
    <row r="7" spans="1:26" s="17" customFormat="1" ht="20.100000000000001" customHeight="1">
      <c r="A7" s="36" t="s">
        <v>113</v>
      </c>
      <c r="B7" s="30">
        <v>1139.1099999999999</v>
      </c>
      <c r="C7" s="30">
        <f>+C24/166.386</f>
        <v>969.96742514394248</v>
      </c>
      <c r="D7" s="30">
        <f t="shared" ref="C7:H12" si="0">+D24/166.386</f>
        <v>1003.63</v>
      </c>
      <c r="E7" s="30">
        <f t="shared" si="0"/>
        <v>1084.4121500607023</v>
      </c>
      <c r="F7" s="30">
        <f t="shared" si="0"/>
        <v>1044.0241366461121</v>
      </c>
      <c r="G7" s="30">
        <f t="shared" si="0"/>
        <v>1157.6454749798661</v>
      </c>
      <c r="H7" s="30">
        <v>1155</v>
      </c>
      <c r="I7" s="30">
        <f>23+1166</f>
        <v>1189</v>
      </c>
      <c r="J7" s="30">
        <f>40+1173</f>
        <v>1213</v>
      </c>
      <c r="K7" s="30">
        <f>1261+40</f>
        <v>1301</v>
      </c>
      <c r="L7" s="30">
        <f>680+33</f>
        <v>713</v>
      </c>
      <c r="M7" s="30">
        <v>898.62935000000004</v>
      </c>
      <c r="N7" s="30">
        <v>1137.8794399999999</v>
      </c>
      <c r="O7" s="30">
        <v>1172.26</v>
      </c>
      <c r="P7" s="30">
        <v>920.89</v>
      </c>
      <c r="Q7" s="30">
        <v>1241.7690299999999</v>
      </c>
      <c r="R7" s="30">
        <v>1091.7808799999998</v>
      </c>
      <c r="S7" s="30">
        <v>601.3096700000001</v>
      </c>
      <c r="T7" s="30">
        <v>4082.35502</v>
      </c>
      <c r="U7" s="30">
        <v>1098.3602700000001</v>
      </c>
      <c r="V7" s="30">
        <v>1684.58872</v>
      </c>
      <c r="W7" s="30">
        <v>1184.6874800000001</v>
      </c>
      <c r="X7" s="30">
        <v>1195.8912700000001</v>
      </c>
      <c r="Y7" s="30">
        <v>631.32577000000003</v>
      </c>
      <c r="Z7" s="30">
        <v>826.86748</v>
      </c>
    </row>
    <row r="8" spans="1:26" s="17" customFormat="1" ht="20.100000000000001" customHeight="1">
      <c r="A8" s="36" t="s">
        <v>87</v>
      </c>
      <c r="B8" s="30">
        <v>1143.77</v>
      </c>
      <c r="C8" s="30">
        <f t="shared" si="0"/>
        <v>1113.0684071977209</v>
      </c>
      <c r="D8" s="30">
        <f t="shared" si="0"/>
        <v>1250.96</v>
      </c>
      <c r="E8" s="30">
        <f t="shared" si="0"/>
        <v>1597.4661329679179</v>
      </c>
      <c r="F8" s="30">
        <f t="shared" si="0"/>
        <v>1767.534528145397</v>
      </c>
      <c r="G8" s="30">
        <f t="shared" si="0"/>
        <v>1839.6740110345822</v>
      </c>
      <c r="H8" s="30">
        <f t="shared" si="0"/>
        <v>1960.4353731684157</v>
      </c>
      <c r="I8" s="30">
        <v>2045.36</v>
      </c>
      <c r="J8" s="30">
        <v>2247.14</v>
      </c>
      <c r="K8" s="30">
        <v>2414.41</v>
      </c>
      <c r="L8" s="30">
        <v>2496.9</v>
      </c>
      <c r="M8" s="30">
        <v>2901.4520000000002</v>
      </c>
      <c r="N8" s="30">
        <v>3482.06268</v>
      </c>
      <c r="O8" s="30">
        <v>3551.7093799999998</v>
      </c>
      <c r="P8" s="30">
        <v>5154.05</v>
      </c>
      <c r="Q8" s="30">
        <v>5054.58212</v>
      </c>
      <c r="R8" s="30">
        <v>4134.7371199999998</v>
      </c>
      <c r="S8" s="30">
        <v>1707.67463</v>
      </c>
      <c r="T8" s="30">
        <v>1244.9800500000001</v>
      </c>
      <c r="U8" s="30">
        <v>1562.31726</v>
      </c>
      <c r="V8" s="30">
        <v>1813.1396599999998</v>
      </c>
      <c r="W8" s="30">
        <v>1710.74919</v>
      </c>
      <c r="X8" s="30">
        <v>1881.23648</v>
      </c>
      <c r="Y8" s="30">
        <v>2323.25558</v>
      </c>
      <c r="Z8" s="30">
        <v>2323.25558</v>
      </c>
    </row>
    <row r="9" spans="1:26" s="17" customFormat="1" ht="20.100000000000001" customHeight="1">
      <c r="A9" s="36" t="s">
        <v>88</v>
      </c>
      <c r="B9" s="30">
        <v>247.65</v>
      </c>
      <c r="C9" s="30">
        <f>+C26/166.386</f>
        <v>230.28980803673386</v>
      </c>
      <c r="D9" s="30">
        <f t="shared" si="0"/>
        <v>187.12</v>
      </c>
      <c r="E9" s="30">
        <f t="shared" si="0"/>
        <v>211.98297933720386</v>
      </c>
      <c r="F9" s="30">
        <f t="shared" si="0"/>
        <v>225.51777192792665</v>
      </c>
      <c r="G9" s="30">
        <f t="shared" si="0"/>
        <v>228.16823530825911</v>
      </c>
      <c r="H9" s="30">
        <f t="shared" si="0"/>
        <v>237.33968002115563</v>
      </c>
      <c r="I9" s="30">
        <v>275.25</v>
      </c>
      <c r="J9" s="30">
        <v>345.98</v>
      </c>
      <c r="K9" s="30">
        <v>337.12</v>
      </c>
      <c r="L9" s="30">
        <v>325.69</v>
      </c>
      <c r="M9" s="30">
        <v>403.04608999999999</v>
      </c>
      <c r="N9" s="30">
        <v>482.38254999999998</v>
      </c>
      <c r="O9" s="30">
        <v>515.85168999999996</v>
      </c>
      <c r="P9" s="30">
        <v>413.07</v>
      </c>
      <c r="Q9" s="30">
        <v>4468.3765000000003</v>
      </c>
      <c r="R9" s="30">
        <v>428.41311999999999</v>
      </c>
      <c r="S9" s="30">
        <v>155.99379000000002</v>
      </c>
      <c r="T9" s="30">
        <v>95.403689999999997</v>
      </c>
      <c r="U9" s="30">
        <v>88.639309999999995</v>
      </c>
      <c r="V9" s="30">
        <v>113.14595</v>
      </c>
      <c r="W9" s="30">
        <v>111.06058</v>
      </c>
      <c r="X9" s="30">
        <v>90.637699999999995</v>
      </c>
      <c r="Y9" s="30">
        <v>128.53867</v>
      </c>
      <c r="Z9" s="30">
        <v>128.53867</v>
      </c>
    </row>
    <row r="10" spans="1:26" s="17" customFormat="1" ht="20.100000000000001" customHeight="1">
      <c r="A10" s="36" t="s">
        <v>89</v>
      </c>
      <c r="B10" s="30">
        <v>1376.82</v>
      </c>
      <c r="C10" s="30">
        <f t="shared" si="0"/>
        <v>1077.1699542028778</v>
      </c>
      <c r="D10" s="30">
        <f t="shared" si="0"/>
        <v>1155.1500000000001</v>
      </c>
      <c r="E10" s="30">
        <f t="shared" si="0"/>
        <v>1315.6635774644501</v>
      </c>
      <c r="F10" s="30">
        <f t="shared" si="0"/>
        <v>1462.3586119024437</v>
      </c>
      <c r="G10" s="30">
        <f t="shared" si="0"/>
        <v>1513.8473188850023</v>
      </c>
      <c r="H10" s="30">
        <f t="shared" si="0"/>
        <v>1728.8233385020376</v>
      </c>
      <c r="I10" s="30">
        <v>1803.48</v>
      </c>
      <c r="J10" s="30">
        <v>1763.73</v>
      </c>
      <c r="K10" s="30">
        <v>1908.93</v>
      </c>
      <c r="L10" s="30">
        <v>1908</v>
      </c>
      <c r="M10" s="30">
        <v>2089.1151</v>
      </c>
      <c r="N10" s="30">
        <v>2222.3830200000002</v>
      </c>
      <c r="O10" s="30">
        <v>2692.57395</v>
      </c>
      <c r="P10" s="30">
        <v>2153.13</v>
      </c>
      <c r="Q10" s="30">
        <v>2242.3650299999999</v>
      </c>
      <c r="R10" s="30">
        <v>2170.37419</v>
      </c>
      <c r="S10" s="30">
        <v>1941.2456200000001</v>
      </c>
      <c r="T10" s="30">
        <v>1347.8609799999999</v>
      </c>
      <c r="U10" s="30">
        <v>5874.94121</v>
      </c>
      <c r="V10" s="30">
        <v>6746.3580099999999</v>
      </c>
      <c r="W10" s="30">
        <v>5245.4127500000004</v>
      </c>
      <c r="X10" s="30">
        <v>5195.4726799999999</v>
      </c>
      <c r="Y10" s="30">
        <v>5184.70921</v>
      </c>
      <c r="Z10" s="30">
        <v>5184.70921</v>
      </c>
    </row>
    <row r="11" spans="1:26" s="17" customFormat="1" ht="20.100000000000001" customHeight="1">
      <c r="A11" s="36" t="s">
        <v>100</v>
      </c>
      <c r="B11" s="30">
        <v>677.88</v>
      </c>
      <c r="C11" s="30">
        <f t="shared" si="0"/>
        <v>636.28550479006651</v>
      </c>
      <c r="D11" s="30">
        <f t="shared" si="0"/>
        <v>706.07</v>
      </c>
      <c r="E11" s="30">
        <f t="shared" si="0"/>
        <v>681.15706850335971</v>
      </c>
      <c r="F11" s="30">
        <f t="shared" si="0"/>
        <v>653.27611698099599</v>
      </c>
      <c r="G11" s="30">
        <f t="shared" si="0"/>
        <v>684.06596708857717</v>
      </c>
      <c r="H11" s="30">
        <f t="shared" si="0"/>
        <v>734.10623489957095</v>
      </c>
      <c r="I11" s="30">
        <v>810.74</v>
      </c>
      <c r="J11" s="30">
        <v>956.38</v>
      </c>
      <c r="K11" s="30">
        <v>867.09</v>
      </c>
      <c r="L11" s="30">
        <v>1075.49</v>
      </c>
      <c r="M11" s="30">
        <v>1385.7639999999999</v>
      </c>
      <c r="N11" s="30">
        <v>1698.15589</v>
      </c>
      <c r="O11" s="30">
        <v>1727.57</v>
      </c>
      <c r="P11" s="30">
        <v>1954.84</v>
      </c>
      <c r="Q11" s="30">
        <v>1694.61355</v>
      </c>
      <c r="R11" s="30">
        <v>1566.6119099999999</v>
      </c>
      <c r="S11" s="30">
        <v>1030.3491800000002</v>
      </c>
      <c r="T11" s="30">
        <v>1079.25839</v>
      </c>
      <c r="U11" s="30">
        <v>897.87707999999998</v>
      </c>
      <c r="V11" s="30">
        <v>495.92959000000002</v>
      </c>
      <c r="W11" s="30">
        <v>587.88006000000007</v>
      </c>
      <c r="X11" s="30">
        <v>477.44653</v>
      </c>
      <c r="Y11" s="30">
        <v>485.06246999999996</v>
      </c>
      <c r="Z11" s="30">
        <v>485.06246999999996</v>
      </c>
    </row>
    <row r="12" spans="1:26" s="17" customFormat="1" ht="20.100000000000001" customHeight="1">
      <c r="A12" s="36" t="s">
        <v>91</v>
      </c>
      <c r="B12" s="30">
        <v>139.41999999999999</v>
      </c>
      <c r="C12" s="30">
        <f t="shared" si="0"/>
        <v>82.320627937446659</v>
      </c>
      <c r="D12" s="30">
        <f t="shared" si="0"/>
        <v>128.84</v>
      </c>
      <c r="E12" s="30">
        <f t="shared" si="0"/>
        <v>166.20388734629117</v>
      </c>
      <c r="F12" s="30">
        <f t="shared" si="0"/>
        <v>177.08821655668146</v>
      </c>
      <c r="G12" s="30">
        <f t="shared" si="0"/>
        <v>180.74237015133485</v>
      </c>
      <c r="H12" s="30">
        <f t="shared" si="0"/>
        <v>191.32018318848941</v>
      </c>
      <c r="I12" s="30">
        <v>166.54</v>
      </c>
      <c r="J12" s="30">
        <v>194.82</v>
      </c>
      <c r="K12" s="30">
        <v>213.1</v>
      </c>
      <c r="L12" s="30">
        <v>254.93</v>
      </c>
      <c r="M12" s="30">
        <v>259.46098999999998</v>
      </c>
      <c r="N12" s="30">
        <v>268.06033000000002</v>
      </c>
      <c r="O12" s="30">
        <v>307.90343999999999</v>
      </c>
      <c r="P12" s="30">
        <v>477.73</v>
      </c>
      <c r="Q12" s="30">
        <v>421.59545000000003</v>
      </c>
      <c r="R12" s="30">
        <v>577.13063</v>
      </c>
      <c r="S12" s="30">
        <v>441.93209000000002</v>
      </c>
      <c r="T12" s="30">
        <v>420.01691</v>
      </c>
      <c r="U12" s="30">
        <v>464.00511999999998</v>
      </c>
      <c r="V12" s="30">
        <v>491.71949000000001</v>
      </c>
      <c r="W12" s="30">
        <v>522.64670999999998</v>
      </c>
      <c r="X12" s="30">
        <v>557.37422000000004</v>
      </c>
      <c r="Y12" s="30">
        <v>673.95015000000001</v>
      </c>
      <c r="Z12" s="30">
        <v>471.14015000000001</v>
      </c>
    </row>
    <row r="13" spans="1:26" s="25" customFormat="1" ht="23.1" customHeight="1">
      <c r="A13" s="35" t="s">
        <v>92</v>
      </c>
      <c r="B13" s="34">
        <f t="shared" ref="B13:P13" si="1">SUM(B7:B12)</f>
        <v>4724.6500000000005</v>
      </c>
      <c r="C13" s="34">
        <f t="shared" si="1"/>
        <v>4109.1017273087882</v>
      </c>
      <c r="D13" s="34">
        <f t="shared" si="1"/>
        <v>4431.7700000000004</v>
      </c>
      <c r="E13" s="34">
        <f t="shared" si="1"/>
        <v>5056.8857956799247</v>
      </c>
      <c r="F13" s="34">
        <f t="shared" si="1"/>
        <v>5329.7993821595574</v>
      </c>
      <c r="G13" s="34">
        <f t="shared" si="1"/>
        <v>5604.1433774476227</v>
      </c>
      <c r="H13" s="34">
        <f t="shared" si="1"/>
        <v>6007.0248097796702</v>
      </c>
      <c r="I13" s="34">
        <f t="shared" si="1"/>
        <v>6290.37</v>
      </c>
      <c r="J13" s="34">
        <f t="shared" si="1"/>
        <v>6721.05</v>
      </c>
      <c r="K13" s="34">
        <f t="shared" si="1"/>
        <v>7041.6500000000005</v>
      </c>
      <c r="L13" s="34">
        <f t="shared" si="1"/>
        <v>6774.01</v>
      </c>
      <c r="M13" s="34">
        <f t="shared" si="1"/>
        <v>7937.4675299999999</v>
      </c>
      <c r="N13" s="34">
        <f t="shared" si="1"/>
        <v>9290.9239100000013</v>
      </c>
      <c r="O13" s="34">
        <f t="shared" si="1"/>
        <v>9967.8684599999997</v>
      </c>
      <c r="P13" s="34">
        <f t="shared" si="1"/>
        <v>11073.71</v>
      </c>
      <c r="Q13" s="34">
        <f t="shared" ref="Q13:V13" si="2">SUM(Q7:Q12)</f>
        <v>15123.301680000002</v>
      </c>
      <c r="R13" s="34">
        <f t="shared" si="2"/>
        <v>9969.047849999999</v>
      </c>
      <c r="S13" s="34">
        <f t="shared" si="2"/>
        <v>5878.5049800000006</v>
      </c>
      <c r="T13" s="34">
        <f t="shared" si="2"/>
        <v>8269.875039999999</v>
      </c>
      <c r="U13" s="34">
        <f t="shared" si="2"/>
        <v>9986.1402500000004</v>
      </c>
      <c r="V13" s="34">
        <f t="shared" si="2"/>
        <v>11344.881419999998</v>
      </c>
      <c r="W13" s="34">
        <f>SUM(W7:W12)</f>
        <v>9362.4367700000003</v>
      </c>
      <c r="X13" s="34">
        <f>SUM(X7:X12)</f>
        <v>9398.0588799999987</v>
      </c>
      <c r="Y13" s="34">
        <f>SUM(Y7:Y12)</f>
        <v>9426.8418500000007</v>
      </c>
      <c r="Z13" s="34">
        <f>SUM(Z7:Z12)</f>
        <v>9419.5735600000007</v>
      </c>
    </row>
    <row r="14" spans="1:26" s="5" customFormat="1" ht="17.25" customHeight="1">
      <c r="B14" s="102"/>
      <c r="C14" s="102"/>
      <c r="D14" s="102"/>
      <c r="E14" s="102"/>
      <c r="F14" s="102"/>
      <c r="G14" s="102"/>
      <c r="H14" s="102"/>
      <c r="I14" s="102"/>
      <c r="J14" s="102"/>
      <c r="K14" s="102"/>
      <c r="L14" s="102"/>
      <c r="M14" s="102"/>
      <c r="N14" s="102"/>
      <c r="O14" s="102" t="s">
        <v>117</v>
      </c>
      <c r="P14" s="102"/>
      <c r="Q14" s="102"/>
      <c r="R14" s="102"/>
      <c r="S14" s="102"/>
      <c r="T14" s="102"/>
      <c r="U14" s="102"/>
      <c r="V14" s="69"/>
      <c r="W14" s="69"/>
    </row>
    <row r="15" spans="1:26" s="5" customFormat="1" ht="20.25" customHeight="1">
      <c r="A15" s="174" t="s">
        <v>118</v>
      </c>
      <c r="B15" s="174"/>
      <c r="C15" s="174"/>
      <c r="D15" s="174"/>
      <c r="E15" s="174"/>
      <c r="F15" s="174"/>
      <c r="G15" s="174"/>
      <c r="H15" s="174"/>
      <c r="I15" s="174"/>
      <c r="J15" s="174"/>
      <c r="K15" s="174"/>
      <c r="L15" s="174"/>
      <c r="M15" s="174"/>
      <c r="N15" s="174"/>
      <c r="O15" s="174"/>
      <c r="P15" s="174"/>
      <c r="Q15" s="174"/>
      <c r="R15" s="174"/>
      <c r="S15" s="174"/>
      <c r="T15" s="174"/>
      <c r="U15" s="174"/>
      <c r="V15" s="69"/>
      <c r="W15" s="69"/>
    </row>
    <row r="16" spans="1:26" s="5" customFormat="1" ht="17.25" customHeight="1">
      <c r="A16" s="99"/>
      <c r="B16" s="99"/>
      <c r="C16" s="99"/>
      <c r="D16" s="99"/>
      <c r="E16" s="99"/>
      <c r="F16" s="99"/>
      <c r="G16" s="99"/>
      <c r="H16" s="99"/>
      <c r="I16" s="99"/>
      <c r="J16" s="99"/>
      <c r="K16" s="99"/>
      <c r="L16" s="99"/>
      <c r="M16" s="99"/>
      <c r="N16" s="99"/>
      <c r="O16" s="99"/>
      <c r="P16" s="99"/>
      <c r="Q16" s="99"/>
      <c r="R16" s="99"/>
      <c r="S16" s="99"/>
      <c r="T16" s="99"/>
      <c r="U16" s="92"/>
      <c r="V16" s="69"/>
      <c r="W16" s="69"/>
    </row>
    <row r="17" spans="1:23" ht="14.25">
      <c r="A17" s="28" t="s">
        <v>40</v>
      </c>
      <c r="B17" s="29"/>
      <c r="S17" s="84"/>
      <c r="T17" s="13"/>
      <c r="U17" s="92"/>
      <c r="V17" s="13"/>
      <c r="W17" s="13"/>
    </row>
    <row r="18" spans="1:23">
      <c r="A18" s="45" t="s">
        <v>53</v>
      </c>
      <c r="S18" s="84"/>
      <c r="T18" s="13"/>
      <c r="U18" s="92"/>
      <c r="V18" s="13"/>
      <c r="W18" s="13"/>
    </row>
    <row r="19" spans="1:23">
      <c r="A19" s="45"/>
      <c r="S19" s="13"/>
      <c r="T19" s="13"/>
      <c r="U19" s="13"/>
      <c r="V19" s="13"/>
      <c r="W19" s="13"/>
    </row>
    <row r="20" spans="1:23">
      <c r="A20" s="45"/>
    </row>
    <row r="21" spans="1:23" ht="15" hidden="1">
      <c r="A21" s="52" t="s">
        <v>47</v>
      </c>
      <c r="B21" s="13"/>
      <c r="C21" s="13"/>
      <c r="D21" s="13"/>
      <c r="E21" s="13"/>
      <c r="F21" s="13"/>
      <c r="G21" s="13"/>
      <c r="H21" s="13"/>
      <c r="I21" s="13"/>
      <c r="J21" s="13"/>
      <c r="K21" s="13"/>
      <c r="L21" s="13"/>
      <c r="M21" s="13"/>
      <c r="N21" s="13"/>
      <c r="O21" s="13"/>
      <c r="P21" s="13"/>
      <c r="Q21" s="13"/>
      <c r="R21" s="13"/>
    </row>
    <row r="22" spans="1:23" s="15" customFormat="1" ht="23.25" hidden="1" customHeight="1">
      <c r="A22" s="53" t="s">
        <v>71</v>
      </c>
      <c r="B22" s="14" t="s">
        <v>1</v>
      </c>
      <c r="C22" s="14" t="s">
        <v>25</v>
      </c>
      <c r="D22" s="14" t="s">
        <v>2</v>
      </c>
      <c r="E22" s="14" t="s">
        <v>3</v>
      </c>
      <c r="F22" s="14" t="s">
        <v>4</v>
      </c>
      <c r="G22" s="14" t="s">
        <v>5</v>
      </c>
      <c r="H22" s="14" t="s">
        <v>6</v>
      </c>
      <c r="I22" s="50"/>
      <c r="J22" s="50"/>
      <c r="K22" s="50"/>
      <c r="L22" s="50"/>
      <c r="M22" s="50"/>
      <c r="N22" s="50"/>
      <c r="O22" s="50"/>
      <c r="P22" s="50"/>
      <c r="Q22" s="50"/>
      <c r="R22" s="50"/>
    </row>
    <row r="23" spans="1:23" s="17" customFormat="1" ht="20.100000000000001" hidden="1" customHeight="1">
      <c r="A23" s="36" t="s">
        <v>85</v>
      </c>
      <c r="B23" s="30"/>
      <c r="C23" s="30"/>
      <c r="D23" s="30"/>
      <c r="E23" s="30"/>
      <c r="F23" s="30"/>
      <c r="G23" s="30"/>
      <c r="H23" s="30"/>
      <c r="I23" s="30"/>
      <c r="J23" s="30"/>
      <c r="K23" s="30"/>
      <c r="L23" s="30"/>
      <c r="M23" s="30"/>
      <c r="N23" s="30"/>
      <c r="O23" s="30"/>
      <c r="P23" s="30"/>
      <c r="Q23" s="30"/>
      <c r="R23" s="30"/>
    </row>
    <row r="24" spans="1:23" s="17" customFormat="1" ht="20.100000000000001" hidden="1" customHeight="1">
      <c r="A24" s="36" t="s">
        <v>86</v>
      </c>
      <c r="B24" s="30"/>
      <c r="C24" s="30">
        <v>161389</v>
      </c>
      <c r="D24" s="30">
        <f>1003.63*166.386</f>
        <v>166989.98118</v>
      </c>
      <c r="E24" s="30">
        <v>180431</v>
      </c>
      <c r="F24" s="30">
        <v>173711</v>
      </c>
      <c r="G24" s="30">
        <v>192616</v>
      </c>
      <c r="H24" s="30">
        <v>192144</v>
      </c>
      <c r="I24" s="30"/>
      <c r="J24" s="30"/>
      <c r="K24" s="30"/>
      <c r="L24" s="30"/>
      <c r="M24" s="30"/>
      <c r="N24" s="30"/>
      <c r="O24" s="30"/>
      <c r="P24" s="30"/>
      <c r="Q24" s="30"/>
      <c r="R24" s="30"/>
    </row>
    <row r="25" spans="1:23" s="17" customFormat="1" ht="20.100000000000001" hidden="1" customHeight="1">
      <c r="A25" s="36" t="s">
        <v>87</v>
      </c>
      <c r="B25" s="30"/>
      <c r="C25" s="30">
        <v>185199</v>
      </c>
      <c r="D25" s="30">
        <f>1250.96*166.386</f>
        <v>208142.23056</v>
      </c>
      <c r="E25" s="30">
        <v>265796</v>
      </c>
      <c r="F25" s="30">
        <v>294093</v>
      </c>
      <c r="G25" s="30">
        <v>306096</v>
      </c>
      <c r="H25" s="30">
        <v>326189</v>
      </c>
      <c r="I25" s="30"/>
      <c r="J25" s="30"/>
      <c r="K25" s="30"/>
      <c r="L25" s="30"/>
      <c r="M25" s="30"/>
      <c r="N25" s="30"/>
      <c r="O25" s="30"/>
      <c r="P25" s="30"/>
      <c r="Q25" s="30"/>
      <c r="R25" s="30"/>
    </row>
    <row r="26" spans="1:23" s="17" customFormat="1" ht="20.100000000000001" hidden="1" customHeight="1">
      <c r="A26" s="36" t="s">
        <v>88</v>
      </c>
      <c r="B26" s="30"/>
      <c r="C26" s="30">
        <v>38317</v>
      </c>
      <c r="D26" s="30">
        <f>187.12*166.386</f>
        <v>31134.14832</v>
      </c>
      <c r="E26" s="30">
        <v>35271</v>
      </c>
      <c r="F26" s="30">
        <v>37523</v>
      </c>
      <c r="G26" s="30">
        <v>37964</v>
      </c>
      <c r="H26" s="30">
        <v>39490</v>
      </c>
      <c r="I26" s="30"/>
      <c r="J26" s="30"/>
      <c r="K26" s="30"/>
      <c r="L26" s="30"/>
      <c r="M26" s="30"/>
      <c r="N26" s="30"/>
      <c r="O26" s="30"/>
      <c r="P26" s="30"/>
      <c r="Q26" s="30"/>
      <c r="R26" s="30"/>
    </row>
    <row r="27" spans="1:23" s="17" customFormat="1" ht="20.100000000000001" hidden="1" customHeight="1">
      <c r="A27" s="36" t="s">
        <v>89</v>
      </c>
      <c r="B27" s="30"/>
      <c r="C27" s="30">
        <v>179226</v>
      </c>
      <c r="D27" s="30">
        <f>1155.15*166.386</f>
        <v>192200.7879</v>
      </c>
      <c r="E27" s="30">
        <v>218908</v>
      </c>
      <c r="F27" s="30">
        <v>243316</v>
      </c>
      <c r="G27" s="30">
        <v>251883</v>
      </c>
      <c r="H27" s="30">
        <v>287652</v>
      </c>
      <c r="I27" s="30"/>
      <c r="J27" s="30"/>
      <c r="K27" s="30"/>
      <c r="L27" s="30"/>
      <c r="M27" s="30"/>
      <c r="N27" s="30"/>
      <c r="O27" s="30"/>
      <c r="P27" s="30"/>
      <c r="Q27" s="30"/>
      <c r="R27" s="30"/>
    </row>
    <row r="28" spans="1:23" s="17" customFormat="1" ht="20.100000000000001" hidden="1" customHeight="1">
      <c r="A28" s="36" t="s">
        <v>90</v>
      </c>
      <c r="B28" s="30"/>
      <c r="C28" s="30">
        <v>105869</v>
      </c>
      <c r="D28" s="30">
        <f>706.07*166.386</f>
        <v>117480.16302000001</v>
      </c>
      <c r="E28" s="30">
        <v>113335</v>
      </c>
      <c r="F28" s="30">
        <v>108696</v>
      </c>
      <c r="G28" s="30">
        <v>113819</v>
      </c>
      <c r="H28" s="30">
        <v>122145</v>
      </c>
      <c r="I28" s="30"/>
      <c r="J28" s="30"/>
      <c r="K28" s="30"/>
      <c r="L28" s="30"/>
      <c r="M28" s="30"/>
      <c r="N28" s="30"/>
      <c r="O28" s="30"/>
      <c r="P28" s="30"/>
      <c r="Q28" s="30"/>
      <c r="R28" s="30"/>
    </row>
    <row r="29" spans="1:23" s="17" customFormat="1" ht="20.100000000000001" hidden="1" customHeight="1">
      <c r="A29" s="36" t="s">
        <v>91</v>
      </c>
      <c r="B29" s="30"/>
      <c r="C29" s="30">
        <v>13697</v>
      </c>
      <c r="D29" s="30">
        <f>128.84*166.386</f>
        <v>21437.17224</v>
      </c>
      <c r="E29" s="30">
        <v>27654</v>
      </c>
      <c r="F29" s="30">
        <v>29465</v>
      </c>
      <c r="G29" s="30">
        <v>30073</v>
      </c>
      <c r="H29" s="30">
        <v>31833</v>
      </c>
      <c r="I29" s="30"/>
      <c r="J29" s="30"/>
      <c r="K29" s="30"/>
      <c r="L29" s="30"/>
      <c r="M29" s="30"/>
      <c r="N29" s="30"/>
      <c r="O29" s="30"/>
      <c r="P29" s="30"/>
      <c r="Q29" s="30"/>
      <c r="R29" s="30"/>
    </row>
    <row r="30" spans="1:23" s="25" customFormat="1" ht="23.1" hidden="1" customHeight="1">
      <c r="A30" s="35" t="s">
        <v>92</v>
      </c>
      <c r="B30" s="34">
        <f t="shared" ref="B30:H30" si="3">SUM(B23:B29)</f>
        <v>0</v>
      </c>
      <c r="C30" s="34">
        <f t="shared" si="3"/>
        <v>683697</v>
      </c>
      <c r="D30" s="34">
        <f t="shared" si="3"/>
        <v>737384.48321999994</v>
      </c>
      <c r="E30" s="34">
        <f t="shared" si="3"/>
        <v>841395</v>
      </c>
      <c r="F30" s="34">
        <f t="shared" si="3"/>
        <v>886804</v>
      </c>
      <c r="G30" s="34">
        <f t="shared" si="3"/>
        <v>932451</v>
      </c>
      <c r="H30" s="34">
        <f t="shared" si="3"/>
        <v>999453</v>
      </c>
      <c r="I30" s="54"/>
      <c r="J30" s="54"/>
      <c r="K30" s="54"/>
      <c r="L30" s="54"/>
      <c r="M30" s="54"/>
      <c r="N30" s="54"/>
      <c r="O30" s="54"/>
      <c r="P30" s="54"/>
      <c r="Q30" s="54"/>
      <c r="R30" s="54"/>
    </row>
    <row r="31" spans="1:23">
      <c r="A31" s="26"/>
      <c r="B31" s="27"/>
      <c r="C31" s="27"/>
      <c r="D31" s="27"/>
      <c r="E31" s="27"/>
      <c r="F31" s="27"/>
      <c r="G31" s="27"/>
      <c r="H31" s="27"/>
      <c r="I31" s="27"/>
      <c r="J31" s="27"/>
      <c r="K31" s="27"/>
      <c r="L31" s="27"/>
      <c r="M31" s="27"/>
      <c r="N31" s="27"/>
      <c r="O31" s="27"/>
      <c r="P31" s="27"/>
      <c r="Q31" s="27"/>
      <c r="R31" s="27"/>
    </row>
    <row r="32" spans="1:23" ht="14.25">
      <c r="A32" s="28"/>
      <c r="B32" s="29"/>
    </row>
    <row r="33" spans="1:1">
      <c r="A33" s="45"/>
    </row>
  </sheetData>
  <mergeCells count="1">
    <mergeCell ref="A15:U15"/>
  </mergeCells>
  <phoneticPr fontId="0" type="noConversion"/>
  <printOptions horizontalCentered="1"/>
  <pageMargins left="0.75" right="0.75" top="0.39370078740157483" bottom="1" header="0" footer="0"/>
  <pageSetup paperSize="9" scale="97"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Z38"/>
  <sheetViews>
    <sheetView showGridLines="0" zoomScaleNormal="100" workbookViewId="0">
      <pane xSplit="8" ySplit="6" topLeftCell="N7" activePane="bottomRight" state="frozen"/>
      <selection activeCell="Y20" sqref="Y20"/>
      <selection pane="topRight" activeCell="Y20" sqref="Y20"/>
      <selection pane="bottomLeft" activeCell="Y20" sqref="Y20"/>
      <selection pane="bottomRight" activeCell="Z6" sqref="Z6"/>
    </sheetView>
  </sheetViews>
  <sheetFormatPr baseColWidth="10" defaultColWidth="11.42578125" defaultRowHeight="12.75"/>
  <cols>
    <col min="1" max="1" width="38.85546875" style="13" customWidth="1"/>
    <col min="2" max="16" width="9.7109375" style="12" hidden="1" customWidth="1"/>
    <col min="17" max="26" width="9.7109375" style="12" customWidth="1"/>
    <col min="27" max="16384" width="11.42578125" style="12"/>
  </cols>
  <sheetData>
    <row r="1" spans="1:26" ht="24.95" customHeight="1">
      <c r="A1" s="104" t="s">
        <v>110</v>
      </c>
    </row>
    <row r="2" spans="1:26" ht="24.95" customHeight="1">
      <c r="A2" s="104" t="s">
        <v>111</v>
      </c>
    </row>
    <row r="3" spans="1:26" ht="24.95" customHeight="1">
      <c r="A3" s="12"/>
    </row>
    <row r="4" spans="1:26" ht="20.100000000000001" customHeight="1">
      <c r="A4" s="41" t="s">
        <v>96</v>
      </c>
      <c r="B4" s="41"/>
      <c r="C4" s="41"/>
      <c r="D4" s="41"/>
      <c r="E4" s="41"/>
      <c r="F4" s="41"/>
      <c r="G4" s="41"/>
      <c r="H4" s="41"/>
      <c r="I4" s="41"/>
      <c r="J4" s="41"/>
      <c r="K4" s="41"/>
      <c r="L4" s="41"/>
      <c r="M4" s="41"/>
      <c r="N4" s="41"/>
      <c r="O4" s="41"/>
      <c r="P4" s="41"/>
      <c r="Q4" s="41"/>
      <c r="R4" s="41"/>
      <c r="S4" s="41"/>
      <c r="T4" s="41"/>
      <c r="U4" s="41"/>
      <c r="V4" s="41"/>
      <c r="W4" s="41"/>
      <c r="X4" s="41"/>
      <c r="Y4" s="41"/>
      <c r="Z4" s="41"/>
    </row>
    <row r="5" spans="1:26" ht="15.75" thickBot="1">
      <c r="A5" s="42" t="s">
        <v>24</v>
      </c>
      <c r="B5" s="42"/>
      <c r="C5" s="42"/>
      <c r="D5" s="42"/>
      <c r="E5" s="42"/>
      <c r="F5" s="42"/>
      <c r="G5" s="42"/>
      <c r="H5" s="42"/>
      <c r="I5" s="42"/>
      <c r="J5" s="42"/>
      <c r="K5" s="42"/>
      <c r="L5" s="42"/>
      <c r="M5" s="42"/>
      <c r="N5" s="42"/>
      <c r="O5" s="42"/>
      <c r="P5" s="42"/>
      <c r="Q5" s="42"/>
      <c r="R5" s="42"/>
      <c r="S5" s="42"/>
      <c r="T5" s="42"/>
      <c r="U5" s="42"/>
      <c r="V5" s="42"/>
      <c r="W5" s="42"/>
      <c r="X5" s="42"/>
      <c r="Y5" s="42"/>
      <c r="Z5" s="42"/>
    </row>
    <row r="6" spans="1:26" s="15" customFormat="1" ht="23.25" customHeight="1" thickBot="1">
      <c r="A6" s="43" t="s">
        <v>42</v>
      </c>
      <c r="B6" s="44" t="s">
        <v>1</v>
      </c>
      <c r="C6" s="44" t="s">
        <v>25</v>
      </c>
      <c r="D6" s="44" t="s">
        <v>2</v>
      </c>
      <c r="E6" s="44" t="s">
        <v>3</v>
      </c>
      <c r="F6" s="44" t="s">
        <v>4</v>
      </c>
      <c r="G6" s="44" t="s">
        <v>5</v>
      </c>
      <c r="H6" s="44" t="s">
        <v>6</v>
      </c>
      <c r="I6" s="44" t="s">
        <v>12</v>
      </c>
      <c r="J6" s="44" t="s">
        <v>7</v>
      </c>
      <c r="K6" s="44" t="s">
        <v>8</v>
      </c>
      <c r="L6" s="44" t="s">
        <v>55</v>
      </c>
      <c r="M6" s="55">
        <v>2006</v>
      </c>
      <c r="N6" s="55">
        <v>2007</v>
      </c>
      <c r="O6" s="55">
        <v>2008</v>
      </c>
      <c r="P6" s="55">
        <v>2009</v>
      </c>
      <c r="Q6" s="55">
        <v>2010</v>
      </c>
      <c r="R6" s="55">
        <v>2011</v>
      </c>
      <c r="S6" s="55">
        <v>2012</v>
      </c>
      <c r="T6" s="96">
        <v>2013</v>
      </c>
      <c r="U6" s="96">
        <v>2014</v>
      </c>
      <c r="V6" s="96">
        <v>2015</v>
      </c>
      <c r="W6" s="96">
        <v>2016</v>
      </c>
      <c r="X6" s="110" t="s">
        <v>114</v>
      </c>
      <c r="Y6" s="110" t="s">
        <v>115</v>
      </c>
      <c r="Z6" s="110" t="s">
        <v>434</v>
      </c>
    </row>
    <row r="7" spans="1:26" s="17" customFormat="1" ht="20.100000000000001" customHeight="1">
      <c r="A7" s="16" t="s">
        <v>43</v>
      </c>
      <c r="B7" s="30"/>
      <c r="C7" s="37">
        <v>46.665905205907357</v>
      </c>
      <c r="D7" s="37">
        <v>46.620842377198862</v>
      </c>
      <c r="E7" s="37">
        <v>44.423642428657232</v>
      </c>
      <c r="F7" s="37">
        <v>43.835704051780269</v>
      </c>
      <c r="G7" s="37">
        <v>43.248321264619328</v>
      </c>
      <c r="H7" s="37">
        <v>42.896611595443076</v>
      </c>
      <c r="I7" s="37">
        <v>46.477826181451626</v>
      </c>
      <c r="J7" s="37">
        <v>49.742647215257918</v>
      </c>
      <c r="K7" s="37">
        <v>48.690375231825449</v>
      </c>
      <c r="L7" s="37">
        <v>48.614269761614565</v>
      </c>
      <c r="M7" s="37">
        <v>48.626837154940922</v>
      </c>
      <c r="N7" s="37">
        <v>48.215787416515298</v>
      </c>
      <c r="O7" s="37">
        <v>48.07165989738413</v>
      </c>
      <c r="P7" s="37">
        <v>46.475015353271424</v>
      </c>
      <c r="Q7" s="37">
        <v>46.478681023518895</v>
      </c>
      <c r="R7" s="37">
        <v>40.339788732958773</v>
      </c>
      <c r="S7" s="37">
        <v>42.091008979749425</v>
      </c>
      <c r="T7" s="37">
        <v>43.8</v>
      </c>
      <c r="U7" s="37">
        <v>42.4</v>
      </c>
      <c r="V7" s="37">
        <v>41.2</v>
      </c>
      <c r="W7" s="37">
        <v>41.811861155912908</v>
      </c>
      <c r="X7" s="113">
        <f>130132.131/318443.7*100</f>
        <v>40.865035483509324</v>
      </c>
      <c r="Y7" s="113">
        <v>40.9</v>
      </c>
      <c r="Z7" s="113">
        <v>40.799999999999997</v>
      </c>
    </row>
    <row r="8" spans="1:26" s="17" customFormat="1" ht="20.100000000000001" customHeight="1">
      <c r="A8" s="18" t="s">
        <v>44</v>
      </c>
      <c r="B8" s="30"/>
      <c r="C8" s="37">
        <v>39.830349225981607</v>
      </c>
      <c r="D8" s="37">
        <v>40.220814640300858</v>
      </c>
      <c r="E8" s="37">
        <v>42.15386550609788</v>
      </c>
      <c r="F8" s="37">
        <v>42.608015749481417</v>
      </c>
      <c r="G8" s="37">
        <v>43.16564496785179</v>
      </c>
      <c r="H8" s="37">
        <v>43.525959917532241</v>
      </c>
      <c r="I8" s="37">
        <v>38.838994635629284</v>
      </c>
      <c r="J8" s="37">
        <v>34.531586633767525</v>
      </c>
      <c r="K8" s="37">
        <v>35.616942063923283</v>
      </c>
      <c r="L8" s="37">
        <v>35.73819648243601</v>
      </c>
      <c r="M8" s="37">
        <v>35.889586895472796</v>
      </c>
      <c r="N8" s="37">
        <v>36.36893851294186</v>
      </c>
      <c r="O8" s="37">
        <v>36.579980536772865</v>
      </c>
      <c r="P8" s="37">
        <v>37.551804048401848</v>
      </c>
      <c r="Q8" s="37">
        <v>35.258252738825917</v>
      </c>
      <c r="R8" s="37">
        <v>39.903508047925165</v>
      </c>
      <c r="S8" s="37">
        <v>40.052647905792647</v>
      </c>
      <c r="T8" s="37">
        <v>40.700000000000003</v>
      </c>
      <c r="U8" s="37">
        <v>41.2</v>
      </c>
      <c r="V8" s="37">
        <v>42</v>
      </c>
      <c r="W8" s="37">
        <v>43.455691226619706</v>
      </c>
      <c r="X8" s="37">
        <f>142471.47202/318443.7*100</f>
        <v>44.739924834436977</v>
      </c>
      <c r="Y8" s="37">
        <v>45.1</v>
      </c>
      <c r="Z8" s="37">
        <v>45.2</v>
      </c>
    </row>
    <row r="9" spans="1:26" s="17" customFormat="1" ht="20.100000000000001" customHeight="1">
      <c r="A9" s="18" t="s">
        <v>45</v>
      </c>
      <c r="B9" s="30"/>
      <c r="C9" s="37">
        <v>12.972664854056976</v>
      </c>
      <c r="D9" s="37">
        <v>12.63035034676896</v>
      </c>
      <c r="E9" s="37">
        <v>12.881289463870671</v>
      </c>
      <c r="F9" s="37">
        <v>13.063013092944754</v>
      </c>
      <c r="G9" s="37">
        <v>13.10153206519681</v>
      </c>
      <c r="H9" s="37">
        <v>13.109351867796985</v>
      </c>
      <c r="I9" s="37">
        <v>14.055254022910491</v>
      </c>
      <c r="J9" s="37">
        <v>15.032316841681755</v>
      </c>
      <c r="K9" s="37">
        <v>14.96877773319375</v>
      </c>
      <c r="L9" s="37">
        <v>14.941207962522892</v>
      </c>
      <c r="M9" s="37">
        <v>14.793493215341325</v>
      </c>
      <c r="N9" s="37">
        <v>14.723571773293328</v>
      </c>
      <c r="O9" s="37">
        <v>14.114320289897069</v>
      </c>
      <c r="P9" s="37">
        <v>14.683768598646679</v>
      </c>
      <c r="Q9" s="37">
        <v>17.144911478967899</v>
      </c>
      <c r="R9" s="37">
        <v>18.577722758706383</v>
      </c>
      <c r="S9" s="37">
        <v>16.9249369809462</v>
      </c>
      <c r="T9" s="37">
        <v>14.7</v>
      </c>
      <c r="U9" s="37">
        <v>15.6</v>
      </c>
      <c r="V9" s="37">
        <v>14.6</v>
      </c>
      <c r="W9" s="37">
        <v>12.621846717225671</v>
      </c>
      <c r="X9" s="37">
        <f>38634.2787/318443.7*100</f>
        <v>12.132216369801005</v>
      </c>
      <c r="Y9" s="37">
        <v>11.7</v>
      </c>
      <c r="Z9" s="37">
        <v>11.7</v>
      </c>
    </row>
    <row r="10" spans="1:26" s="17" customFormat="1" ht="27.75" customHeight="1">
      <c r="A10" s="168" t="s">
        <v>432</v>
      </c>
      <c r="B10" s="30"/>
      <c r="C10" s="37">
        <v>0.53108071405404433</v>
      </c>
      <c r="D10" s="37">
        <v>0.52799263573133237</v>
      </c>
      <c r="E10" s="37">
        <v>0.54120260137421861</v>
      </c>
      <c r="F10" s="37">
        <v>0.49326710579357158</v>
      </c>
      <c r="G10" s="37">
        <v>0.48450170233206258</v>
      </c>
      <c r="H10" s="37">
        <v>0.46807661922768995</v>
      </c>
      <c r="I10" s="37">
        <v>0.62792516000859544</v>
      </c>
      <c r="J10" s="37">
        <v>0.69344930929281179</v>
      </c>
      <c r="K10" s="37">
        <v>0.72390497105750617</v>
      </c>
      <c r="L10" s="37">
        <v>0.70632579342652679</v>
      </c>
      <c r="M10" s="37">
        <v>0.69008273424495037</v>
      </c>
      <c r="N10" s="37">
        <v>0.69170229724950183</v>
      </c>
      <c r="O10" s="37">
        <v>1.2340392759459455</v>
      </c>
      <c r="P10" s="37">
        <v>1.2894119996800408</v>
      </c>
      <c r="Q10" s="37">
        <v>1.1181547586872949</v>
      </c>
      <c r="R10" s="37">
        <v>1.1789804604096703</v>
      </c>
      <c r="S10" s="37">
        <v>0.93140613351172552</v>
      </c>
      <c r="T10" s="37">
        <v>0.8</v>
      </c>
      <c r="U10" s="37">
        <v>0.8</v>
      </c>
      <c r="V10" s="37">
        <v>2.2000000000000002</v>
      </c>
      <c r="W10" s="37">
        <v>2.1106009002417134</v>
      </c>
      <c r="X10" s="37">
        <f>7205.81946/318443.7*100</f>
        <v>2.2628236828048411</v>
      </c>
      <c r="Y10" s="37">
        <v>2.2999999999999998</v>
      </c>
      <c r="Z10" s="37">
        <v>2.2999999999999998</v>
      </c>
    </row>
    <row r="11" spans="1:26" s="25" customFormat="1" ht="23.1" customHeight="1">
      <c r="A11" s="24" t="s">
        <v>46</v>
      </c>
      <c r="B11" s="34"/>
      <c r="C11" s="38" t="e">
        <f>#REF!/#REF!*100</f>
        <v>#REF!</v>
      </c>
      <c r="D11" s="38" t="e">
        <f>#REF!/#REF!*100</f>
        <v>#REF!</v>
      </c>
      <c r="E11" s="38" t="e">
        <f>#REF!/#REF!*100</f>
        <v>#REF!</v>
      </c>
      <c r="F11" s="38" t="e">
        <f>#REF!/#REF!*100</f>
        <v>#REF!</v>
      </c>
      <c r="G11" s="38" t="e">
        <f>#REF!/#REF!*100</f>
        <v>#REF!</v>
      </c>
      <c r="H11" s="38" t="e">
        <f>#REF!/#REF!*100</f>
        <v>#REF!</v>
      </c>
      <c r="I11" s="38" t="e">
        <f>#REF!/#REF!*100</f>
        <v>#REF!</v>
      </c>
      <c r="J11" s="38" t="e">
        <f>#REF!/#REF!*100</f>
        <v>#REF!</v>
      </c>
      <c r="K11" s="38">
        <v>100</v>
      </c>
      <c r="L11" s="38">
        <v>100</v>
      </c>
      <c r="M11" s="38">
        <v>100</v>
      </c>
      <c r="N11" s="38">
        <v>100</v>
      </c>
      <c r="O11" s="38">
        <v>100</v>
      </c>
      <c r="P11" s="38">
        <v>100</v>
      </c>
      <c r="Q11" s="38">
        <v>100</v>
      </c>
      <c r="R11" s="38">
        <f t="shared" ref="R11:W11" si="0">SUM(R7:R10)</f>
        <v>100</v>
      </c>
      <c r="S11" s="38">
        <f t="shared" si="0"/>
        <v>100</v>
      </c>
      <c r="T11" s="38">
        <f t="shared" si="0"/>
        <v>100</v>
      </c>
      <c r="U11" s="38">
        <f t="shared" si="0"/>
        <v>99.999999999999986</v>
      </c>
      <c r="V11" s="38">
        <f t="shared" si="0"/>
        <v>100</v>
      </c>
      <c r="W11" s="38">
        <f t="shared" si="0"/>
        <v>99.999999999999986</v>
      </c>
      <c r="X11" s="38">
        <f t="shared" ref="X11:Y11" si="1">SUM(X7:X10)</f>
        <v>100.00000037055214</v>
      </c>
      <c r="Y11" s="38">
        <f t="shared" si="1"/>
        <v>100</v>
      </c>
      <c r="Z11" s="38">
        <f t="shared" ref="Z11" si="2">SUM(Z7:Z10)</f>
        <v>100</v>
      </c>
    </row>
    <row r="12" spans="1:26" ht="19.5" customHeight="1">
      <c r="A12" s="16"/>
      <c r="B12" s="27"/>
      <c r="C12" s="27"/>
      <c r="D12" s="27"/>
      <c r="E12" s="27"/>
      <c r="F12" s="27"/>
      <c r="G12" s="27"/>
      <c r="H12" s="27"/>
      <c r="I12" s="27"/>
      <c r="J12" s="27"/>
      <c r="K12" s="27"/>
      <c r="L12" s="27"/>
      <c r="M12" s="27"/>
      <c r="N12" s="27"/>
      <c r="O12" s="27"/>
      <c r="P12" s="27"/>
      <c r="Q12" s="27"/>
      <c r="R12" s="27"/>
    </row>
    <row r="13" spans="1:26">
      <c r="A13" s="26"/>
      <c r="B13" s="27"/>
      <c r="C13" s="27"/>
      <c r="D13" s="27"/>
      <c r="E13" s="27"/>
      <c r="F13" s="27"/>
      <c r="G13" s="27"/>
      <c r="H13" s="27"/>
      <c r="I13" s="27"/>
      <c r="J13" s="27"/>
      <c r="K13" s="27"/>
      <c r="L13" s="27"/>
      <c r="M13" s="27"/>
      <c r="N13" s="27"/>
      <c r="O13" s="27"/>
      <c r="P13" s="27"/>
      <c r="Q13" s="27"/>
      <c r="R13" s="27"/>
    </row>
    <row r="14" spans="1:26" ht="14.25">
      <c r="A14" s="28" t="s">
        <v>40</v>
      </c>
      <c r="B14" s="29"/>
    </row>
    <row r="15" spans="1:26">
      <c r="A15" s="45" t="s">
        <v>53</v>
      </c>
    </row>
    <row r="23" spans="3:7" ht="15">
      <c r="C23" s="48"/>
    </row>
    <row r="26" spans="3:7" ht="15">
      <c r="G26" s="48"/>
    </row>
    <row r="27" spans="3:7" ht="15">
      <c r="G27" s="48"/>
    </row>
    <row r="28" spans="3:7" ht="15">
      <c r="G28" s="48"/>
    </row>
    <row r="29" spans="3:7" ht="15">
      <c r="G29" s="48"/>
    </row>
    <row r="30" spans="3:7" ht="15">
      <c r="G30" s="48"/>
    </row>
    <row r="31" spans="3:7">
      <c r="G31"/>
    </row>
    <row r="32" spans="3:7" ht="15">
      <c r="G32" s="48"/>
    </row>
    <row r="33" spans="7:7" ht="15">
      <c r="G33" s="48"/>
    </row>
    <row r="34" spans="7:7" ht="15">
      <c r="G34" s="48"/>
    </row>
    <row r="35" spans="7:7" ht="15">
      <c r="G35" s="48"/>
    </row>
    <row r="36" spans="7:7" ht="15">
      <c r="G36" s="48"/>
    </row>
    <row r="37" spans="7:7" ht="15">
      <c r="G37" s="48"/>
    </row>
    <row r="38" spans="7:7" ht="15">
      <c r="G38" s="48"/>
    </row>
  </sheetData>
  <phoneticPr fontId="0" type="noConversion"/>
  <printOptions horizontalCentered="1"/>
  <pageMargins left="0.75" right="0.75" top="0.39370078740157483" bottom="1" header="0" footer="0"/>
  <pageSetup paperSize="9" scale="99"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U51"/>
  <sheetViews>
    <sheetView showGridLines="0" zoomScaleNormal="100" workbookViewId="0">
      <pane xSplit="1" ySplit="6" topLeftCell="L25" activePane="bottomRight" state="frozen"/>
      <selection activeCell="Y20" sqref="Y20"/>
      <selection pane="topRight" activeCell="Y20" sqref="Y20"/>
      <selection pane="bottomLeft" activeCell="Y20" sqref="Y20"/>
      <selection pane="bottomRight" activeCell="U6" sqref="U6"/>
    </sheetView>
  </sheetViews>
  <sheetFormatPr baseColWidth="10" defaultColWidth="11.42578125" defaultRowHeight="12.75"/>
  <cols>
    <col min="1" max="1" width="42.7109375" style="2" customWidth="1"/>
    <col min="2" max="9" width="9.7109375" style="1" hidden="1" customWidth="1"/>
    <col min="10" max="10" width="15.7109375" style="1" hidden="1" customWidth="1"/>
    <col min="11" max="11" width="9.7109375" style="1" hidden="1" customWidth="1"/>
    <col min="12" max="21" width="9.7109375" style="1" customWidth="1"/>
    <col min="22" max="16384" width="11.42578125" style="1"/>
  </cols>
  <sheetData>
    <row r="1" spans="1:21" ht="21.75" customHeight="1">
      <c r="A1" s="104" t="s">
        <v>110</v>
      </c>
      <c r="O1" s="2"/>
    </row>
    <row r="2" spans="1:21" ht="27.75" customHeight="1">
      <c r="A2" s="104" t="s">
        <v>111</v>
      </c>
      <c r="O2" s="2"/>
    </row>
    <row r="3" spans="1:21" ht="27.75" customHeight="1">
      <c r="A3" s="104"/>
      <c r="O3" s="2"/>
    </row>
    <row r="4" spans="1:21" ht="20.100000000000001" customHeight="1">
      <c r="A4" s="41" t="s">
        <v>105</v>
      </c>
      <c r="B4" s="41"/>
      <c r="C4" s="41"/>
      <c r="D4" s="41"/>
      <c r="E4" s="41"/>
      <c r="F4" s="41"/>
      <c r="G4" s="41"/>
      <c r="H4" s="41"/>
      <c r="I4" s="41"/>
      <c r="J4" s="41"/>
      <c r="K4" s="41"/>
      <c r="L4" s="41"/>
      <c r="M4" s="41"/>
      <c r="N4" s="41"/>
      <c r="O4" s="41"/>
      <c r="P4" s="41"/>
      <c r="Q4" s="41"/>
      <c r="R4" s="41"/>
      <c r="S4" s="41"/>
      <c r="T4" s="41"/>
      <c r="U4" s="41"/>
    </row>
    <row r="5" spans="1:21" ht="15.75" thickBot="1">
      <c r="A5" s="42" t="s">
        <v>0</v>
      </c>
      <c r="B5" s="42"/>
      <c r="C5" s="42"/>
      <c r="D5" s="42"/>
      <c r="E5" s="42"/>
      <c r="F5" s="42"/>
      <c r="G5" s="42"/>
      <c r="H5" s="42"/>
      <c r="I5" s="42"/>
      <c r="J5" s="42"/>
      <c r="K5" s="42"/>
      <c r="L5" s="42"/>
      <c r="M5" s="42"/>
      <c r="N5" s="42"/>
      <c r="O5" s="42"/>
      <c r="P5" s="42"/>
      <c r="Q5" s="42"/>
      <c r="R5" s="42"/>
      <c r="S5" s="42"/>
      <c r="T5" s="42"/>
      <c r="U5" s="42"/>
    </row>
    <row r="6" spans="1:21" s="9" customFormat="1" ht="23.25" customHeight="1" thickBot="1">
      <c r="A6" s="43" t="s">
        <v>10</v>
      </c>
      <c r="B6" s="44" t="s">
        <v>5</v>
      </c>
      <c r="C6" s="44" t="s">
        <v>6</v>
      </c>
      <c r="D6" s="44" t="s">
        <v>12</v>
      </c>
      <c r="E6" s="44" t="s">
        <v>7</v>
      </c>
      <c r="F6" s="44" t="s">
        <v>8</v>
      </c>
      <c r="G6" s="44" t="s">
        <v>55</v>
      </c>
      <c r="H6" s="55">
        <v>2006</v>
      </c>
      <c r="I6" s="55">
        <v>2007</v>
      </c>
      <c r="J6" s="44" t="s">
        <v>107</v>
      </c>
      <c r="K6" s="70">
        <v>2009</v>
      </c>
      <c r="L6" s="70">
        <v>2010</v>
      </c>
      <c r="M6" s="70">
        <v>2011</v>
      </c>
      <c r="N6" s="70">
        <v>2012</v>
      </c>
      <c r="O6" s="101">
        <v>2013</v>
      </c>
      <c r="P6" s="96">
        <v>2014</v>
      </c>
      <c r="Q6" s="96">
        <v>2015</v>
      </c>
      <c r="R6" s="96">
        <v>2016</v>
      </c>
      <c r="S6" s="110" t="s">
        <v>114</v>
      </c>
      <c r="T6" s="110" t="s">
        <v>115</v>
      </c>
      <c r="U6" s="110" t="s">
        <v>434</v>
      </c>
    </row>
    <row r="7" spans="1:21" s="4" customFormat="1" ht="15.95" customHeight="1">
      <c r="A7" s="105" t="s">
        <v>13</v>
      </c>
      <c r="B7" s="106">
        <v>947.39</v>
      </c>
      <c r="C7" s="106">
        <v>1037.74</v>
      </c>
      <c r="D7" s="106">
        <f>+'16'!B15</f>
        <v>1106.3599999999999</v>
      </c>
      <c r="E7" s="106">
        <f>+'16'!C15</f>
        <v>1114.1390699999999</v>
      </c>
      <c r="F7" s="106">
        <f>+'16'!D15</f>
        <v>1091.1600000000001</v>
      </c>
      <c r="G7" s="106">
        <f>+'16'!E15</f>
        <v>1184.3256699999999</v>
      </c>
      <c r="H7" s="106">
        <v>1332.65</v>
      </c>
      <c r="I7" s="107">
        <v>1451.4792199999999</v>
      </c>
      <c r="J7" s="108">
        <v>1564.02953</v>
      </c>
      <c r="K7" s="108">
        <v>1658.49</v>
      </c>
      <c r="L7" s="108">
        <v>1818.79636</v>
      </c>
      <c r="M7" s="108">
        <v>1713.2545299999999</v>
      </c>
      <c r="N7" s="108">
        <v>1612.63309</v>
      </c>
      <c r="O7" s="108">
        <v>1542.8472899999999</v>
      </c>
      <c r="P7" s="108">
        <v>1500.75404</v>
      </c>
      <c r="Q7" s="108">
        <v>1508.15445</v>
      </c>
      <c r="R7" s="108">
        <v>1604.31179</v>
      </c>
      <c r="S7" s="108">
        <v>1726.19093</v>
      </c>
      <c r="T7" s="108">
        <v>1780.74441</v>
      </c>
      <c r="U7" s="108">
        <v>1779.72937</v>
      </c>
    </row>
    <row r="8" spans="1:21" s="59" customFormat="1" ht="15.95" customHeight="1">
      <c r="A8" s="57" t="s">
        <v>14</v>
      </c>
      <c r="B8" s="58">
        <v>5588.25</v>
      </c>
      <c r="C8" s="58">
        <v>5867.56</v>
      </c>
      <c r="D8" s="58">
        <f>+'16'!B23</f>
        <v>6158.46</v>
      </c>
      <c r="E8" s="58">
        <f>+'16'!C23</f>
        <v>6215.6593899999998</v>
      </c>
      <c r="F8" s="58">
        <f>+'16'!D23</f>
        <v>6498.76</v>
      </c>
      <c r="G8" s="58">
        <f>+'16'!E23</f>
        <v>6757.5741100000005</v>
      </c>
      <c r="H8" s="58">
        <v>7123.36</v>
      </c>
      <c r="I8" s="58">
        <v>7696.3856299999998</v>
      </c>
      <c r="J8" s="58">
        <v>8149.3544199999997</v>
      </c>
      <c r="K8" s="58">
        <v>7846.87</v>
      </c>
      <c r="L8" s="58">
        <v>7357.0629000000008</v>
      </c>
      <c r="M8" s="58">
        <v>6868.1973699999999</v>
      </c>
      <c r="N8" s="58">
        <v>6269.3151799999996</v>
      </c>
      <c r="O8" s="58">
        <v>5786.0118700000003</v>
      </c>
      <c r="P8" s="58">
        <v>5654.4543899999999</v>
      </c>
      <c r="Q8" s="58">
        <v>5711.6874200000002</v>
      </c>
      <c r="R8" s="58">
        <v>5734.2919099999999</v>
      </c>
      <c r="S8" s="58">
        <v>7575.5928700000004</v>
      </c>
      <c r="T8" s="58">
        <v>8400.5615399999988</v>
      </c>
      <c r="U8" s="58">
        <v>8400.5615399999988</v>
      </c>
    </row>
    <row r="9" spans="1:21" s="59" customFormat="1" ht="15.95" customHeight="1">
      <c r="A9" s="57" t="s">
        <v>54</v>
      </c>
      <c r="B9" s="58">
        <v>4762.8963488514673</v>
      </c>
      <c r="C9" s="58">
        <v>4996.4202685322089</v>
      </c>
      <c r="D9" s="58">
        <f>+'16'!B35</f>
        <v>5224.2602685322072</v>
      </c>
      <c r="E9" s="58">
        <f>+'16'!C35</f>
        <v>5633.0674499999996</v>
      </c>
      <c r="F9" s="58">
        <f>+'16'!D35</f>
        <v>6035.9400000000014</v>
      </c>
      <c r="G9" s="58">
        <f>+'16'!E35</f>
        <v>6492.8303899999983</v>
      </c>
      <c r="H9" s="58">
        <v>7266.84</v>
      </c>
      <c r="I9" s="58">
        <v>8138.4168899999995</v>
      </c>
      <c r="J9" s="58">
        <v>8450.17</v>
      </c>
      <c r="K9" s="58">
        <v>8649.2000000000007</v>
      </c>
      <c r="L9" s="58">
        <v>8872.8073699999986</v>
      </c>
      <c r="M9" s="58">
        <v>8401.9594399999987</v>
      </c>
      <c r="N9" s="58">
        <v>8354.9085899999991</v>
      </c>
      <c r="O9" s="58">
        <v>7903.4847199999995</v>
      </c>
      <c r="P9" s="58">
        <v>7880.9532600000002</v>
      </c>
      <c r="Q9" s="58">
        <v>7843.1293399999995</v>
      </c>
      <c r="R9" s="58">
        <v>7903.6175999999996</v>
      </c>
      <c r="S9" s="58">
        <v>7912.3304900000003</v>
      </c>
      <c r="T9" s="58">
        <v>8418.1387100000011</v>
      </c>
      <c r="U9" s="58">
        <v>8418.0873200000005</v>
      </c>
    </row>
    <row r="10" spans="1:21" s="59" customFormat="1" ht="15.95" customHeight="1">
      <c r="A10" s="57" t="s">
        <v>56</v>
      </c>
      <c r="B10" s="58">
        <v>883.48</v>
      </c>
      <c r="C10" s="58">
        <v>908.23</v>
      </c>
      <c r="D10" s="58">
        <f>+'16'!B42</f>
        <v>1026.3000000000002</v>
      </c>
      <c r="E10" s="58">
        <f>+'16'!C42</f>
        <v>1145.0803699999999</v>
      </c>
      <c r="F10" s="58">
        <f>+'16'!D42</f>
        <v>1188.31</v>
      </c>
      <c r="G10" s="58">
        <f>+'16'!E42</f>
        <v>1254.4862899999998</v>
      </c>
      <c r="H10" s="58">
        <v>1437.31</v>
      </c>
      <c r="I10" s="58">
        <v>2287.7428599999998</v>
      </c>
      <c r="J10" s="58">
        <v>3468.48531</v>
      </c>
      <c r="K10" s="58">
        <v>3676.85</v>
      </c>
      <c r="L10" s="58">
        <v>3547.9564599999999</v>
      </c>
      <c r="M10" s="58">
        <v>2747.73288</v>
      </c>
      <c r="N10" s="58">
        <v>1680.6160199999999</v>
      </c>
      <c r="O10" s="58">
        <v>1495.26838</v>
      </c>
      <c r="P10" s="58">
        <v>1395.1690900000001</v>
      </c>
      <c r="Q10" s="58">
        <v>1422.4261299999998</v>
      </c>
      <c r="R10" s="58">
        <v>1477.9398500000002</v>
      </c>
      <c r="S10" s="58">
        <v>1521.6985</v>
      </c>
      <c r="T10" s="58">
        <v>1581.4435000000001</v>
      </c>
      <c r="U10" s="58">
        <v>1581.4435000000001</v>
      </c>
    </row>
    <row r="11" spans="1:21" s="59" customFormat="1" ht="15.95" customHeight="1">
      <c r="A11" s="57" t="s">
        <v>15</v>
      </c>
      <c r="B11" s="58">
        <v>58243.28</v>
      </c>
      <c r="C11" s="58">
        <v>61435.28</v>
      </c>
      <c r="D11" s="58">
        <f>+'16'!B51</f>
        <v>64957.799999999996</v>
      </c>
      <c r="E11" s="58">
        <f>+'16'!C51</f>
        <v>69391.641889999999</v>
      </c>
      <c r="F11" s="58">
        <f>+'16'!D51</f>
        <v>74155.78</v>
      </c>
      <c r="G11" s="58">
        <f>+'16'!E51</f>
        <v>79221.280470000027</v>
      </c>
      <c r="H11" s="58">
        <v>84681.59</v>
      </c>
      <c r="I11" s="58">
        <v>91458.177159999992</v>
      </c>
      <c r="J11" s="58">
        <v>98011.776729999998</v>
      </c>
      <c r="K11" s="58">
        <v>106098.58</v>
      </c>
      <c r="L11" s="58">
        <v>108282.71167</v>
      </c>
      <c r="M11" s="58">
        <v>112215.75517</v>
      </c>
      <c r="N11" s="58">
        <v>115825.93359</v>
      </c>
      <c r="O11" s="58">
        <v>121556.51110999999</v>
      </c>
      <c r="P11" s="58">
        <v>127483.83335</v>
      </c>
      <c r="Q11" s="58">
        <v>131658.53137000001</v>
      </c>
      <c r="R11" s="58">
        <v>135448.92578999998</v>
      </c>
      <c r="S11" s="58">
        <v>139646.72308</v>
      </c>
      <c r="T11" s="58">
        <v>144834.30565999998</v>
      </c>
      <c r="U11" s="58">
        <v>144834.30565999998</v>
      </c>
    </row>
    <row r="12" spans="1:21" s="59" customFormat="1" ht="15.95" customHeight="1">
      <c r="A12" s="57" t="s">
        <v>57</v>
      </c>
      <c r="B12" s="58">
        <v>5763.57</v>
      </c>
      <c r="C12" s="58">
        <v>6809.3</v>
      </c>
      <c r="D12" s="58">
        <f>+'16'!B56</f>
        <v>8416.73</v>
      </c>
      <c r="E12" s="58">
        <f>+'16'!C56</f>
        <v>8547.0351200000005</v>
      </c>
      <c r="F12" s="58">
        <f>+'16'!D56</f>
        <v>9872.1200000000008</v>
      </c>
      <c r="G12" s="58">
        <f>+'16'!E56</f>
        <v>10656.226060000001</v>
      </c>
      <c r="H12" s="58">
        <v>11972.11</v>
      </c>
      <c r="I12" s="58">
        <v>12797.42261</v>
      </c>
      <c r="J12" s="58">
        <v>14085.292380000001</v>
      </c>
      <c r="K12" s="58">
        <v>14973.33</v>
      </c>
      <c r="L12" s="58">
        <v>14402.51698</v>
      </c>
      <c r="M12" s="58">
        <v>13576.36476</v>
      </c>
      <c r="N12" s="58">
        <v>12013.279329999999</v>
      </c>
      <c r="O12" s="58">
        <v>11880.25625</v>
      </c>
      <c r="P12" s="58">
        <v>11603.830599999999</v>
      </c>
      <c r="Q12" s="58">
        <v>10943.652910000001</v>
      </c>
      <c r="R12" s="58">
        <v>11685.709210000001</v>
      </c>
      <c r="S12" s="58">
        <v>13511.898230000001</v>
      </c>
      <c r="T12" s="58">
        <v>14388.365949999999</v>
      </c>
      <c r="U12" s="58">
        <v>14385.074949999998</v>
      </c>
    </row>
    <row r="13" spans="1:21" s="59" customFormat="1" ht="15.95" customHeight="1">
      <c r="A13" s="57" t="s">
        <v>58</v>
      </c>
      <c r="B13" s="58">
        <v>1781.25</v>
      </c>
      <c r="C13" s="58">
        <v>1934.05</v>
      </c>
      <c r="D13" s="58">
        <f>+'16'!B74</f>
        <v>1066.05</v>
      </c>
      <c r="E13" s="58">
        <f>+'16'!C74</f>
        <v>1140.8775499999997</v>
      </c>
      <c r="F13" s="58">
        <f>+'16'!D74</f>
        <v>1132.98</v>
      </c>
      <c r="G13" s="58">
        <f>+'16'!E74</f>
        <v>1378.1106900000002</v>
      </c>
      <c r="H13" s="58">
        <v>1650.46</v>
      </c>
      <c r="I13" s="58">
        <v>1832.55783</v>
      </c>
      <c r="J13" s="58">
        <v>2287.90211</v>
      </c>
      <c r="K13" s="58">
        <v>2508.62</v>
      </c>
      <c r="L13" s="58">
        <v>2737.03845</v>
      </c>
      <c r="M13" s="58">
        <v>2513.4771900000001</v>
      </c>
      <c r="N13" s="58">
        <v>2119.0170699999999</v>
      </c>
      <c r="O13" s="58">
        <v>2844.9935699999996</v>
      </c>
      <c r="P13" s="58">
        <v>1809.90696</v>
      </c>
      <c r="Q13" s="58">
        <v>1944.2873500000001</v>
      </c>
      <c r="R13" s="58">
        <v>2296.2225199999998</v>
      </c>
      <c r="S13" s="58">
        <v>2408.2932700000001</v>
      </c>
      <c r="T13" s="58">
        <v>2630.3365600000002</v>
      </c>
      <c r="U13" s="58">
        <v>2630.8498399999999</v>
      </c>
    </row>
    <row r="14" spans="1:21" s="59" customFormat="1" ht="15.95" customHeight="1">
      <c r="A14" s="57" t="s">
        <v>16</v>
      </c>
      <c r="B14" s="58">
        <v>4843.33</v>
      </c>
      <c r="C14" s="58">
        <v>4968.55</v>
      </c>
      <c r="D14" s="58">
        <f>+'16'!B78</f>
        <v>5183.0199999999995</v>
      </c>
      <c r="E14" s="58">
        <f>+'16'!C78</f>
        <v>5357.6163300000007</v>
      </c>
      <c r="F14" s="58">
        <f>+'16'!D78</f>
        <v>5827.98</v>
      </c>
      <c r="G14" s="58">
        <f>+'16'!E78</f>
        <v>6237.5637300000008</v>
      </c>
      <c r="H14" s="58">
        <v>6527.15</v>
      </c>
      <c r="I14" s="58">
        <v>7286.9540700000007</v>
      </c>
      <c r="J14" s="58">
        <v>7683.8317699999998</v>
      </c>
      <c r="K14" s="58">
        <v>7584.16</v>
      </c>
      <c r="L14" s="58">
        <v>7750.6651700000002</v>
      </c>
      <c r="M14" s="58">
        <v>7329.1018199999999</v>
      </c>
      <c r="N14" s="58">
        <v>5764.7432800000006</v>
      </c>
      <c r="O14" s="58">
        <v>3771.5108599999999</v>
      </c>
      <c r="P14" s="58">
        <v>4073.5210999999999</v>
      </c>
      <c r="Q14" s="58">
        <v>4746.3614100000004</v>
      </c>
      <c r="R14" s="58">
        <v>5214.9159400000008</v>
      </c>
      <c r="S14" s="58">
        <v>5499.2547500000001</v>
      </c>
      <c r="T14" s="58">
        <v>5716.1433499999994</v>
      </c>
      <c r="U14" s="58">
        <v>5715.9599100000005</v>
      </c>
    </row>
    <row r="15" spans="1:21" s="59" customFormat="1" ht="15.95" customHeight="1">
      <c r="A15" s="57" t="s">
        <v>19</v>
      </c>
      <c r="B15" s="58">
        <v>8053.04</v>
      </c>
      <c r="C15" s="58">
        <v>8257.7999999999993</v>
      </c>
      <c r="D15" s="58">
        <f>+'16'!B80</f>
        <v>8928.44</v>
      </c>
      <c r="E15" s="58">
        <f>+'16'!C80</f>
        <v>10691.38839</v>
      </c>
      <c r="F15" s="58">
        <f>+'16'!D80</f>
        <v>11088.52</v>
      </c>
      <c r="G15" s="58">
        <f>+'16'!E80</f>
        <v>12688.219520000001</v>
      </c>
      <c r="H15" s="58">
        <v>13578.34</v>
      </c>
      <c r="I15" s="58">
        <v>14470.66064</v>
      </c>
      <c r="J15" s="58">
        <v>15777.076660000001</v>
      </c>
      <c r="K15" s="58">
        <v>19615.95</v>
      </c>
      <c r="L15" s="58">
        <v>30974.83628</v>
      </c>
      <c r="M15" s="58">
        <v>30474.05963</v>
      </c>
      <c r="N15" s="58">
        <v>28805.052820000001</v>
      </c>
      <c r="O15" s="58">
        <v>26993.695960000001</v>
      </c>
      <c r="P15" s="58">
        <v>29727.53427</v>
      </c>
      <c r="Q15" s="58">
        <v>25300.04046</v>
      </c>
      <c r="R15" s="58">
        <v>19620.938899999997</v>
      </c>
      <c r="S15" s="58">
        <v>18318.31265</v>
      </c>
      <c r="T15" s="58">
        <v>17702.180620000003</v>
      </c>
      <c r="U15" s="58">
        <v>17702.180620000003</v>
      </c>
    </row>
    <row r="16" spans="1:21" s="59" customFormat="1" ht="15.95" customHeight="1">
      <c r="A16" s="57" t="s">
        <v>59</v>
      </c>
      <c r="B16" s="58">
        <v>658.36</v>
      </c>
      <c r="C16" s="58">
        <v>661.34</v>
      </c>
      <c r="D16" s="58">
        <f>+'16'!B85</f>
        <v>657.34999999999991</v>
      </c>
      <c r="E16" s="58">
        <f>+'16'!C85</f>
        <v>653.33238000000006</v>
      </c>
      <c r="F16" s="58">
        <f>+'16'!D85</f>
        <v>663.02</v>
      </c>
      <c r="G16" s="58">
        <f>+'16'!E85</f>
        <v>878.32114999999999</v>
      </c>
      <c r="H16" s="58">
        <v>1079.3699999999999</v>
      </c>
      <c r="I16" s="58">
        <v>1247.55593</v>
      </c>
      <c r="J16" s="58">
        <v>1378.39714</v>
      </c>
      <c r="K16" s="58">
        <v>1615.93</v>
      </c>
      <c r="L16" s="58">
        <v>1498.06474</v>
      </c>
      <c r="M16" s="58">
        <v>1200.1782900000001</v>
      </c>
      <c r="N16" s="58">
        <v>819.91228999999998</v>
      </c>
      <c r="O16" s="58">
        <v>765.87588000000005</v>
      </c>
      <c r="P16" s="58">
        <v>799.72407999999996</v>
      </c>
      <c r="Q16" s="58">
        <v>587.10908999999992</v>
      </c>
      <c r="R16" s="58">
        <v>587.10908999999992</v>
      </c>
      <c r="S16" s="58">
        <v>474.24203</v>
      </c>
      <c r="T16" s="58">
        <v>481.24238000000003</v>
      </c>
      <c r="U16" s="58">
        <v>481.24238000000003</v>
      </c>
    </row>
    <row r="17" spans="1:21" s="59" customFormat="1" ht="15.95" customHeight="1">
      <c r="A17" s="60" t="s">
        <v>60</v>
      </c>
      <c r="B17" s="61">
        <v>2308.1</v>
      </c>
      <c r="C17" s="61">
        <v>3897.06</v>
      </c>
      <c r="D17" s="61">
        <f>+'16'!B88</f>
        <v>5591.22</v>
      </c>
      <c r="E17" s="61">
        <f>+'16'!C88</f>
        <v>5758.9945699999998</v>
      </c>
      <c r="F17" s="61">
        <f>+'16'!D88</f>
        <v>5497.8</v>
      </c>
      <c r="G17" s="61">
        <f>+'16'!E88</f>
        <v>7984.0714900000003</v>
      </c>
      <c r="H17" s="61">
        <v>9199.5499999999993</v>
      </c>
      <c r="I17" s="61">
        <v>10453.3341</v>
      </c>
      <c r="J17" s="61">
        <v>11232.72148</v>
      </c>
      <c r="K17" s="61">
        <v>12920.49</v>
      </c>
      <c r="L17" s="61">
        <v>6362.2898299999997</v>
      </c>
      <c r="M17" s="61">
        <v>7770.5909599999995</v>
      </c>
      <c r="N17" s="61">
        <v>2901.1150200000002</v>
      </c>
      <c r="O17" s="61">
        <v>4436.2987899999998</v>
      </c>
      <c r="P17" s="61">
        <v>4377.4035800000001</v>
      </c>
      <c r="Q17" s="61">
        <v>5344.13814</v>
      </c>
      <c r="R17" s="61">
        <v>5990.1234999999997</v>
      </c>
      <c r="S17" s="61">
        <v>14287.73122</v>
      </c>
      <c r="T17" s="61">
        <v>17296.740170000001</v>
      </c>
      <c r="U17" s="61">
        <v>17296.740170000001</v>
      </c>
    </row>
    <row r="18" spans="1:21" s="59" customFormat="1" ht="15.95" customHeight="1">
      <c r="A18" s="60" t="s">
        <v>17</v>
      </c>
      <c r="B18" s="61">
        <v>26770.97</v>
      </c>
      <c r="C18" s="61">
        <v>28437.32</v>
      </c>
      <c r="D18" s="61">
        <f>+'16'!B104</f>
        <v>13870.670000000002</v>
      </c>
      <c r="E18" s="61">
        <f>+'16'!C104</f>
        <v>3370.1036400000003</v>
      </c>
      <c r="F18" s="61">
        <f>+'16'!D104</f>
        <v>3572.4</v>
      </c>
      <c r="G18" s="61">
        <f>+'16'!E104</f>
        <v>3648.1070300000001</v>
      </c>
      <c r="H18" s="61">
        <v>3960.57</v>
      </c>
      <c r="I18" s="61">
        <v>4200.30224</v>
      </c>
      <c r="J18" s="61">
        <v>4433.8172299999997</v>
      </c>
      <c r="K18" s="61">
        <v>4622.92</v>
      </c>
      <c r="L18" s="61">
        <v>4634.60185</v>
      </c>
      <c r="M18" s="61">
        <v>4263.5810300000003</v>
      </c>
      <c r="N18" s="61">
        <v>3975.6245299999996</v>
      </c>
      <c r="O18" s="61">
        <v>3855.7711099999997</v>
      </c>
      <c r="P18" s="61">
        <v>3839.7559500000002</v>
      </c>
      <c r="Q18" s="61">
        <v>3863.8319799999999</v>
      </c>
      <c r="R18" s="61">
        <v>4000.1176499999997</v>
      </c>
      <c r="S18" s="61">
        <v>4093.4778299999998</v>
      </c>
      <c r="T18" s="61">
        <v>4253.2518600000003</v>
      </c>
      <c r="U18" s="61">
        <v>4251.3370100000002</v>
      </c>
    </row>
    <row r="19" spans="1:21" s="59" customFormat="1" ht="15.95" customHeight="1">
      <c r="A19" s="60" t="s">
        <v>18</v>
      </c>
      <c r="B19" s="61">
        <v>3049.31</v>
      </c>
      <c r="C19" s="61">
        <v>1532.7</v>
      </c>
      <c r="D19" s="61">
        <f>+'16'!B122</f>
        <v>1670.42</v>
      </c>
      <c r="E19" s="61">
        <f>+'16'!C122</f>
        <v>1498.52883</v>
      </c>
      <c r="F19" s="61">
        <f>+'16'!D122</f>
        <v>1524.6399999999999</v>
      </c>
      <c r="G19" s="61">
        <f>+'16'!E122</f>
        <v>1619.5434299999999</v>
      </c>
      <c r="H19" s="61">
        <v>1935.36</v>
      </c>
      <c r="I19" s="61">
        <v>2485.4801200000002</v>
      </c>
      <c r="J19" s="61">
        <v>2932.6246700000002</v>
      </c>
      <c r="K19" s="61">
        <v>2987.69</v>
      </c>
      <c r="L19" s="61">
        <v>3092.0880000000002</v>
      </c>
      <c r="M19" s="61">
        <v>2843.4283500000001</v>
      </c>
      <c r="N19" s="61">
        <v>2219.5700000000002</v>
      </c>
      <c r="O19" s="61">
        <v>1944.85276</v>
      </c>
      <c r="P19" s="61">
        <v>2174.99611</v>
      </c>
      <c r="Q19" s="61">
        <v>2272.8628799999997</v>
      </c>
      <c r="R19" s="61">
        <v>2484.2808100000002</v>
      </c>
      <c r="S19" s="61">
        <v>2523.8162000000002</v>
      </c>
      <c r="T19" s="61">
        <v>2581.9047300000002</v>
      </c>
      <c r="U19" s="61">
        <v>2540.6827999999996</v>
      </c>
    </row>
    <row r="20" spans="1:21" s="59" customFormat="1" ht="15.95" customHeight="1">
      <c r="A20" s="60" t="s">
        <v>61</v>
      </c>
      <c r="B20" s="61">
        <v>763.87</v>
      </c>
      <c r="C20" s="61">
        <v>785.62</v>
      </c>
      <c r="D20" s="61">
        <f>+'16'!B139</f>
        <v>769.43</v>
      </c>
      <c r="E20" s="61">
        <f>+'16'!C139</f>
        <v>816.97012999999993</v>
      </c>
      <c r="F20" s="61">
        <f>+'16'!D139</f>
        <v>875.42</v>
      </c>
      <c r="G20" s="61">
        <f>+'16'!E139</f>
        <v>936.3315600000002</v>
      </c>
      <c r="H20" s="61">
        <v>1027.55</v>
      </c>
      <c r="I20" s="61">
        <v>1128.2993200000001</v>
      </c>
      <c r="J20" s="61">
        <v>1220.43453</v>
      </c>
      <c r="K20" s="61">
        <v>1284.26</v>
      </c>
      <c r="L20" s="61">
        <v>1198.8933500000001</v>
      </c>
      <c r="M20" s="61">
        <v>1103.9948999999999</v>
      </c>
      <c r="N20" s="61">
        <v>942.46289999999999</v>
      </c>
      <c r="O20" s="61">
        <v>721.71165000000008</v>
      </c>
      <c r="P20" s="61">
        <v>717.97102000000007</v>
      </c>
      <c r="Q20" s="61">
        <v>749.05750999999998</v>
      </c>
      <c r="R20" s="61">
        <v>806.75933999999995</v>
      </c>
      <c r="S20" s="61">
        <v>802.59203000000002</v>
      </c>
      <c r="T20" s="61">
        <v>856.15214000000003</v>
      </c>
      <c r="U20" s="61">
        <v>886.99343999999996</v>
      </c>
    </row>
    <row r="21" spans="1:21" s="59" customFormat="1" ht="15.95" customHeight="1">
      <c r="A21" s="57" t="s">
        <v>62</v>
      </c>
      <c r="B21" s="58">
        <v>7139.43</v>
      </c>
      <c r="C21" s="58">
        <v>7680.73</v>
      </c>
      <c r="D21" s="58">
        <f>+'16'!B154</f>
        <v>7690.4000000000005</v>
      </c>
      <c r="E21" s="58">
        <f>+'16'!C154</f>
        <v>8090.5847000000012</v>
      </c>
      <c r="F21" s="58">
        <f>+'16'!D154</f>
        <v>8153.7200000000012</v>
      </c>
      <c r="G21" s="58">
        <f>+'16'!E154</f>
        <v>8296.6538199999995</v>
      </c>
      <c r="H21" s="58">
        <v>8479.44</v>
      </c>
      <c r="I21" s="58">
        <v>8536.3026900000004</v>
      </c>
      <c r="J21" s="58">
        <v>8848.5652599999994</v>
      </c>
      <c r="K21" s="58">
        <v>8861.09</v>
      </c>
      <c r="L21" s="58">
        <v>8959.1175800000001</v>
      </c>
      <c r="M21" s="58">
        <v>8575.0914300000004</v>
      </c>
      <c r="N21" s="58">
        <v>8454.6323599999996</v>
      </c>
      <c r="O21" s="58">
        <v>7661.8659800000005</v>
      </c>
      <c r="P21" s="58">
        <v>7720.5280899999998</v>
      </c>
      <c r="Q21" s="58">
        <v>8579.9177200000013</v>
      </c>
      <c r="R21" s="58">
        <v>7403.2523000000001</v>
      </c>
      <c r="S21" s="58">
        <v>7412.5002899999999</v>
      </c>
      <c r="T21" s="58">
        <v>7500.1808300000002</v>
      </c>
      <c r="U21" s="58">
        <v>7706.9416500000007</v>
      </c>
    </row>
    <row r="22" spans="1:21" s="59" customFormat="1" ht="15.95" customHeight="1">
      <c r="A22" s="57" t="s">
        <v>20</v>
      </c>
      <c r="B22" s="58">
        <v>1628.89</v>
      </c>
      <c r="C22" s="58">
        <v>1399.23</v>
      </c>
      <c r="D22" s="58">
        <f>+'16'!B165</f>
        <v>1397.99</v>
      </c>
      <c r="E22" s="58">
        <f>+'16'!C165</f>
        <v>1591.24755</v>
      </c>
      <c r="F22" s="58">
        <f>+'16'!D165</f>
        <v>1585.55</v>
      </c>
      <c r="G22" s="58">
        <f>+'16'!E165</f>
        <v>1764.8266300000003</v>
      </c>
      <c r="H22" s="58">
        <v>1891.34</v>
      </c>
      <c r="I22" s="58">
        <v>2117.2809299999999</v>
      </c>
      <c r="J22" s="58">
        <v>2323.81</v>
      </c>
      <c r="K22" s="58">
        <v>2874.54</v>
      </c>
      <c r="L22" s="58">
        <v>3229.3361600000003</v>
      </c>
      <c r="M22" s="58">
        <v>2800.8098500000001</v>
      </c>
      <c r="N22" s="58">
        <v>1897.0603000000001</v>
      </c>
      <c r="O22" s="58">
        <v>4574.9939000000004</v>
      </c>
      <c r="P22" s="58">
        <v>5777.7619500000001</v>
      </c>
      <c r="Q22" s="58">
        <v>6027.7619599999998</v>
      </c>
      <c r="R22" s="58">
        <v>5457.0194599999995</v>
      </c>
      <c r="S22" s="58">
        <v>5432.1710899999998</v>
      </c>
      <c r="T22" s="58">
        <v>5768.8279199999997</v>
      </c>
      <c r="U22" s="58">
        <v>5770.5358900000001</v>
      </c>
    </row>
    <row r="23" spans="1:21" s="59" customFormat="1" ht="15.95" customHeight="1">
      <c r="A23" s="57" t="s">
        <v>21</v>
      </c>
      <c r="B23" s="58">
        <v>1049.96</v>
      </c>
      <c r="C23" s="58">
        <v>1082.6199999999999</v>
      </c>
      <c r="D23" s="58">
        <f>+'16'!B172</f>
        <v>1172.97</v>
      </c>
      <c r="E23" s="58">
        <f>+'16'!C172</f>
        <v>1182.9356400000001</v>
      </c>
      <c r="F23" s="58">
        <f>+'16'!D172</f>
        <v>1163.52</v>
      </c>
      <c r="G23" s="58">
        <f>+'16'!E172</f>
        <v>1197.99127</v>
      </c>
      <c r="H23" s="58">
        <v>1655.14</v>
      </c>
      <c r="I23" s="58">
        <v>1168.82104</v>
      </c>
      <c r="J23" s="58">
        <v>1195.8271100000002</v>
      </c>
      <c r="K23" s="58">
        <v>1626.87</v>
      </c>
      <c r="L23" s="58">
        <v>1511.3506</v>
      </c>
      <c r="M23" s="58">
        <v>1432.93993</v>
      </c>
      <c r="N23" s="58">
        <v>1109.9671599999999</v>
      </c>
      <c r="O23" s="58">
        <v>889.55663000000004</v>
      </c>
      <c r="P23" s="58">
        <v>936.19506999999999</v>
      </c>
      <c r="Q23" s="58">
        <v>963.30186000000003</v>
      </c>
      <c r="R23" s="58">
        <v>982.61881000000005</v>
      </c>
      <c r="S23" s="58">
        <v>875.38705000000004</v>
      </c>
      <c r="T23" s="58">
        <v>896.20275000000004</v>
      </c>
      <c r="U23" s="58">
        <v>896.20275000000004</v>
      </c>
    </row>
    <row r="24" spans="1:21" s="59" customFormat="1" ht="15.95" customHeight="1">
      <c r="A24" s="57" t="s">
        <v>63</v>
      </c>
      <c r="B24" s="58">
        <v>1275.6300000000001</v>
      </c>
      <c r="C24" s="58">
        <v>1355.57</v>
      </c>
      <c r="D24" s="58">
        <f>+'16'!B177</f>
        <v>1322.8799999999997</v>
      </c>
      <c r="E24" s="58">
        <f>+'16'!C177</f>
        <v>1401.55646</v>
      </c>
      <c r="F24" s="58">
        <f>+'16'!D177</f>
        <v>1499.64</v>
      </c>
      <c r="G24" s="58">
        <f>+'16'!E177</f>
        <v>1309.2652600000001</v>
      </c>
      <c r="H24" s="58">
        <v>1579.71</v>
      </c>
      <c r="I24" s="58">
        <v>1685.1389299999998</v>
      </c>
      <c r="J24" s="58">
        <v>2265.9970199999998</v>
      </c>
      <c r="K24" s="58">
        <v>1939.3184099999999</v>
      </c>
      <c r="L24" s="58">
        <v>1590.1673400000002</v>
      </c>
      <c r="M24" s="58">
        <v>1618.7247600000001</v>
      </c>
      <c r="N24" s="58">
        <v>1616.8010300000001</v>
      </c>
      <c r="O24" s="58">
        <v>1180.03035</v>
      </c>
      <c r="P24" s="58">
        <v>1615.15535</v>
      </c>
      <c r="Q24" s="58">
        <v>1340.4692600000001</v>
      </c>
      <c r="R24" s="58">
        <v>1424.0677599999999</v>
      </c>
      <c r="S24" s="58">
        <v>1421.0258899999999</v>
      </c>
      <c r="T24" s="58">
        <v>2148.7620899999997</v>
      </c>
      <c r="U24" s="58">
        <v>2138.71009</v>
      </c>
    </row>
    <row r="25" spans="1:21" s="59" customFormat="1" ht="15.95" customHeight="1">
      <c r="A25" s="57" t="s">
        <v>22</v>
      </c>
      <c r="B25" s="58">
        <v>7256.32</v>
      </c>
      <c r="C25" s="58">
        <v>7886.92</v>
      </c>
      <c r="D25" s="58">
        <f>+'16'!B199</f>
        <v>8710.3300000000017</v>
      </c>
      <c r="E25" s="58">
        <f>+'16'!C199</f>
        <v>9359.0642900000021</v>
      </c>
      <c r="F25" s="58">
        <f>+'16'!D199</f>
        <v>10470.779999999999</v>
      </c>
      <c r="G25" s="58">
        <f>+'16'!E199</f>
        <v>11420.178779999998</v>
      </c>
      <c r="H25" s="58">
        <v>12933.29</v>
      </c>
      <c r="I25" s="58">
        <v>14237.09635</v>
      </c>
      <c r="J25" s="58">
        <v>14690</v>
      </c>
      <c r="K25" s="58">
        <v>13177.189390000001</v>
      </c>
      <c r="L25" s="58">
        <v>14325.165420000001</v>
      </c>
      <c r="M25" s="58">
        <v>8859.0789600000007</v>
      </c>
      <c r="N25" s="58">
        <v>6900.83</v>
      </c>
      <c r="O25" s="58">
        <v>5965.8194899999999</v>
      </c>
      <c r="P25" s="58">
        <v>5453.5526900000004</v>
      </c>
      <c r="Q25" s="58">
        <v>6150.0152300000009</v>
      </c>
      <c r="R25" s="58">
        <v>6048.9719599999999</v>
      </c>
      <c r="S25" s="58">
        <v>5453.1443099999997</v>
      </c>
      <c r="T25" s="58">
        <v>5656.5084400000005</v>
      </c>
      <c r="U25" s="58">
        <v>5436.9278899999999</v>
      </c>
    </row>
    <row r="26" spans="1:21" s="59" customFormat="1" ht="15.95" customHeight="1">
      <c r="A26" s="57" t="s">
        <v>64</v>
      </c>
      <c r="B26" s="46">
        <v>1824</v>
      </c>
      <c r="C26" s="58">
        <v>2189</v>
      </c>
      <c r="D26" s="58">
        <v>2301</v>
      </c>
      <c r="E26" s="58">
        <v>2628</v>
      </c>
      <c r="F26" s="58">
        <v>2987</v>
      </c>
      <c r="G26" s="58">
        <v>3688</v>
      </c>
      <c r="H26" s="58">
        <v>4869</v>
      </c>
      <c r="I26" s="58">
        <v>6540.5605400000004</v>
      </c>
      <c r="J26" s="58">
        <v>7676.6141900000002</v>
      </c>
      <c r="K26" s="58">
        <v>8203.1581299999998</v>
      </c>
      <c r="L26" s="58">
        <v>8087.9782499999992</v>
      </c>
      <c r="M26" s="58">
        <v>7576.4473300000009</v>
      </c>
      <c r="N26" s="97">
        <f>6386.88136-N27</f>
        <v>5629.1972999999998</v>
      </c>
      <c r="O26" s="97">
        <f>5925.83817-O27</f>
        <v>5562.3981700000004</v>
      </c>
      <c r="P26" s="97">
        <f>6139.84864-P27</f>
        <v>5632.8486400000002</v>
      </c>
      <c r="Q26" s="97">
        <f>6395.15074-Q27</f>
        <v>5668.3927400000002</v>
      </c>
      <c r="R26" s="109">
        <f>6425.16227-R27</f>
        <v>5793.3062899999995</v>
      </c>
      <c r="S26" s="109">
        <f>6502.62063-S27</f>
        <v>6041.1735900000003</v>
      </c>
      <c r="T26" s="97">
        <f>7050.07476-T27</f>
        <v>6370.8672800000004</v>
      </c>
      <c r="U26" s="58">
        <f>7057.77429-U27</f>
        <v>6379.1868100000002</v>
      </c>
    </row>
    <row r="27" spans="1:21" s="59" customFormat="1" ht="15.95" customHeight="1">
      <c r="A27" s="57" t="s">
        <v>101</v>
      </c>
      <c r="B27" s="93">
        <v>1224</v>
      </c>
      <c r="C27" s="58">
        <v>1333</v>
      </c>
      <c r="D27" s="58">
        <v>1491</v>
      </c>
      <c r="E27" s="58">
        <v>1373</v>
      </c>
      <c r="F27" s="58">
        <v>1373</v>
      </c>
      <c r="G27" s="58">
        <v>1330</v>
      </c>
      <c r="H27" s="58">
        <v>1679.99</v>
      </c>
      <c r="I27" s="58">
        <v>1582.19946</v>
      </c>
      <c r="J27" s="58">
        <v>1660.3411000000001</v>
      </c>
      <c r="K27" s="58">
        <v>1458.6406900000002</v>
      </c>
      <c r="L27" s="58">
        <v>1182.8</v>
      </c>
      <c r="M27" s="58">
        <v>1009.2943</v>
      </c>
      <c r="N27" s="58">
        <v>757.68406000000004</v>
      </c>
      <c r="O27" s="58">
        <v>363.44</v>
      </c>
      <c r="P27" s="58">
        <v>507</v>
      </c>
      <c r="Q27" s="58">
        <v>726.75800000000004</v>
      </c>
      <c r="R27" s="58">
        <v>631.85598000000005</v>
      </c>
      <c r="S27" s="97">
        <v>461.44704000000002</v>
      </c>
      <c r="T27" s="97">
        <v>679.20748000000003</v>
      </c>
      <c r="U27" s="97">
        <f>679.20748-0.62</f>
        <v>678.58748000000003</v>
      </c>
    </row>
    <row r="28" spans="1:21" s="59" customFormat="1" ht="15.95" customHeight="1">
      <c r="A28" s="57" t="s">
        <v>65</v>
      </c>
      <c r="B28" s="58">
        <v>866.94</v>
      </c>
      <c r="C28" s="58">
        <v>848.21</v>
      </c>
      <c r="D28" s="58">
        <f>+'16'!B234</f>
        <v>848.63000000000011</v>
      </c>
      <c r="E28" s="58">
        <f>+'16'!C234</f>
        <v>864.76483000000007</v>
      </c>
      <c r="F28" s="58">
        <f>+'16'!D234</f>
        <v>812.88</v>
      </c>
      <c r="G28" s="58">
        <f>+'16'!E234</f>
        <v>803.78300999999999</v>
      </c>
      <c r="H28" s="58">
        <v>710.43</v>
      </c>
      <c r="I28" s="58">
        <v>643.68493999999998</v>
      </c>
      <c r="J28" s="58">
        <v>876.70690999999999</v>
      </c>
      <c r="K28" s="58">
        <v>832.41884000000005</v>
      </c>
      <c r="L28" s="58">
        <v>848.59</v>
      </c>
      <c r="M28" s="58">
        <v>808.32120999999995</v>
      </c>
      <c r="N28" s="58">
        <v>709.56</v>
      </c>
      <c r="O28" s="58">
        <v>901.3045699999999</v>
      </c>
      <c r="P28" s="58">
        <v>1160.0663</v>
      </c>
      <c r="Q28" s="58">
        <v>927.48959000000002</v>
      </c>
      <c r="R28" s="58">
        <v>665.35264000000006</v>
      </c>
      <c r="S28" s="58">
        <v>555.55667000000005</v>
      </c>
      <c r="T28" s="58">
        <v>639.47498999999993</v>
      </c>
      <c r="U28" s="58">
        <v>639.47370000000001</v>
      </c>
    </row>
    <row r="29" spans="1:21" s="59" customFormat="1" ht="15.95" customHeight="1">
      <c r="A29" s="57" t="s">
        <v>124</v>
      </c>
      <c r="B29" s="58">
        <v>301.07</v>
      </c>
      <c r="C29" s="58">
        <v>315.56</v>
      </c>
      <c r="D29" s="58">
        <f>+'16'!B246</f>
        <v>369.53999999999996</v>
      </c>
      <c r="E29" s="58">
        <f>+'16'!C246</f>
        <v>477.92489999999992</v>
      </c>
      <c r="F29" s="58">
        <f>+'16'!D246</f>
        <v>518.38999999999987</v>
      </c>
      <c r="G29" s="58">
        <f>+'16'!E246</f>
        <v>588.46215999999993</v>
      </c>
      <c r="H29" s="58">
        <v>642.52</v>
      </c>
      <c r="I29" s="58">
        <v>715.29956000000004</v>
      </c>
      <c r="J29" s="58">
        <v>769.19984999999997</v>
      </c>
      <c r="K29" s="58">
        <v>763.86</v>
      </c>
      <c r="L29" s="61">
        <v>818.19031999999993</v>
      </c>
      <c r="M29" s="61">
        <v>654.37956999999994</v>
      </c>
      <c r="N29" s="61">
        <v>633.35009000000002</v>
      </c>
      <c r="O29" s="61">
        <v>595.63648999999998</v>
      </c>
      <c r="P29" s="61">
        <v>593.78543000000002</v>
      </c>
      <c r="Q29" s="61">
        <v>612.82351000000006</v>
      </c>
      <c r="R29" s="61">
        <v>633.57088999999996</v>
      </c>
      <c r="S29" s="58">
        <v>652.41492000000005</v>
      </c>
      <c r="T29" s="58">
        <v>681.46259999999995</v>
      </c>
      <c r="U29" s="58">
        <v>681.03332999999998</v>
      </c>
    </row>
    <row r="30" spans="1:21" s="59" customFormat="1" ht="15.95" customHeight="1">
      <c r="A30" s="57" t="s">
        <v>66</v>
      </c>
      <c r="B30" s="58">
        <v>3195.86</v>
      </c>
      <c r="C30" s="58">
        <v>3359.4</v>
      </c>
      <c r="D30" s="58">
        <f>+'16'!B276</f>
        <v>3640.55</v>
      </c>
      <c r="E30" s="58">
        <f>+'16'!C276</f>
        <v>6292.4447600000003</v>
      </c>
      <c r="F30" s="58">
        <f>+'16'!D276</f>
        <v>6753.92</v>
      </c>
      <c r="G30" s="58">
        <f>+'16'!E276</f>
        <v>6712.2262599999995</v>
      </c>
      <c r="H30" s="58">
        <v>7571.1</v>
      </c>
      <c r="I30" s="58">
        <v>8553.3288900000007</v>
      </c>
      <c r="J30" s="58">
        <v>9029.3516500000005</v>
      </c>
      <c r="K30" s="58">
        <v>9021.4</v>
      </c>
      <c r="L30" s="58">
        <v>9314.31</v>
      </c>
      <c r="M30" s="58">
        <v>8014.2486100000006</v>
      </c>
      <c r="N30" s="58">
        <v>6991.6826200000005</v>
      </c>
      <c r="O30" s="58">
        <v>29843.770649999999</v>
      </c>
      <c r="P30" s="58">
        <v>29905.72263</v>
      </c>
      <c r="Q30" s="58">
        <v>28417.446840000001</v>
      </c>
      <c r="R30" s="58">
        <v>33998.157189999998</v>
      </c>
      <c r="S30" s="61">
        <v>24728.302830000001</v>
      </c>
      <c r="T30" s="61">
        <v>24658.607359999998</v>
      </c>
      <c r="U30" s="61">
        <v>24642.567709999999</v>
      </c>
    </row>
    <row r="31" spans="1:21" s="59" customFormat="1" ht="15.95" customHeight="1">
      <c r="A31" s="57" t="s">
        <v>67</v>
      </c>
      <c r="B31" s="58">
        <v>940.09</v>
      </c>
      <c r="C31" s="58">
        <v>950.73</v>
      </c>
      <c r="D31" s="58">
        <f>+'16'!B285</f>
        <v>1273.97</v>
      </c>
      <c r="E31" s="58">
        <f>+'16'!C285</f>
        <v>1317.4693300000001</v>
      </c>
      <c r="F31" s="58">
        <f>+'16'!D285</f>
        <v>1386.51</v>
      </c>
      <c r="G31" s="58">
        <f>+'16'!E285</f>
        <v>1424.5661399999999</v>
      </c>
      <c r="H31" s="58">
        <v>1479.06</v>
      </c>
      <c r="I31" s="58">
        <v>1558.3813500000001</v>
      </c>
      <c r="J31" s="58">
        <v>1627.0576900000001</v>
      </c>
      <c r="K31" s="58">
        <v>21596.87</v>
      </c>
      <c r="L31" s="58">
        <v>1499.9601</v>
      </c>
      <c r="M31" s="58">
        <v>1409.3343300000001</v>
      </c>
      <c r="N31" s="58">
        <v>5237.7183499999992</v>
      </c>
      <c r="O31" s="58">
        <v>5501.5880399999996</v>
      </c>
      <c r="P31" s="58">
        <v>9704.863800000001</v>
      </c>
      <c r="Q31" s="58">
        <v>1877.8041000000001</v>
      </c>
      <c r="R31" s="58">
        <v>1656.81513</v>
      </c>
      <c r="S31" s="58">
        <v>1382.3903800000001</v>
      </c>
      <c r="T31" s="58">
        <v>1389.5288500000001</v>
      </c>
      <c r="U31" s="58">
        <v>1389.5288500000001</v>
      </c>
    </row>
    <row r="32" spans="1:21" s="59" customFormat="1" ht="15.95" customHeight="1">
      <c r="A32" s="57" t="s">
        <v>68</v>
      </c>
      <c r="B32" s="58">
        <v>34329.543651148531</v>
      </c>
      <c r="C32" s="58">
        <v>38251.499731467789</v>
      </c>
      <c r="D32" s="58" t="e">
        <f>+'16'!#REF!</f>
        <v>#REF!</v>
      </c>
      <c r="E32" s="58" t="e">
        <f>+'16'!#REF!</f>
        <v>#REF!</v>
      </c>
      <c r="F32" s="58" t="e">
        <f>+'16'!#REF!</f>
        <v>#REF!</v>
      </c>
      <c r="G32" s="58" t="e">
        <f>+'16'!#REF!</f>
        <v>#REF!</v>
      </c>
      <c r="H32" s="58">
        <v>56146.49</v>
      </c>
      <c r="I32" s="58">
        <v>60993.306389999998</v>
      </c>
      <c r="J32" s="58">
        <v>66273.84</v>
      </c>
      <c r="K32" s="58">
        <v>66414.58</v>
      </c>
      <c r="L32" s="58">
        <v>73598.570599999992</v>
      </c>
      <c r="M32" s="58">
        <v>42811.178509999998</v>
      </c>
      <c r="N32" s="58">
        <v>49686.069349999998</v>
      </c>
      <c r="O32" s="58">
        <v>48316.649440000001</v>
      </c>
      <c r="P32" s="58">
        <v>45988.789429999997</v>
      </c>
      <c r="Q32" s="58">
        <v>47165.889600000002</v>
      </c>
      <c r="R32" s="58">
        <v>48816.042450000001</v>
      </c>
      <c r="S32" s="58">
        <v>48222.51107</v>
      </c>
      <c r="T32" s="58">
        <v>49510.401920000004</v>
      </c>
      <c r="U32" s="58">
        <v>49510.401920000004</v>
      </c>
    </row>
    <row r="33" spans="1:21" s="59" customFormat="1" ht="15.95" customHeight="1">
      <c r="A33" s="57" t="s">
        <v>69</v>
      </c>
      <c r="B33" s="58">
        <v>16858.39</v>
      </c>
      <c r="C33" s="58">
        <v>17038.689999999999</v>
      </c>
      <c r="D33" s="58" t="e">
        <f>+'16'!#REF!</f>
        <v>#REF!</v>
      </c>
      <c r="E33" s="58" t="e">
        <f>+'16'!#REF!</f>
        <v>#REF!</v>
      </c>
      <c r="F33" s="58" t="e">
        <f>+'16'!#REF!</f>
        <v>#REF!</v>
      </c>
      <c r="G33" s="58" t="e">
        <f>+'16'!#REF!</f>
        <v>#REF!</v>
      </c>
      <c r="H33" s="58">
        <v>17421.7</v>
      </c>
      <c r="I33" s="58">
        <v>15925</v>
      </c>
      <c r="J33" s="58">
        <v>16609</v>
      </c>
      <c r="K33" s="58">
        <v>17400</v>
      </c>
      <c r="L33" s="58">
        <v>23200</v>
      </c>
      <c r="M33" s="58">
        <v>27400</v>
      </c>
      <c r="N33" s="58">
        <v>28848</v>
      </c>
      <c r="O33" s="58">
        <v>38589.550000000003</v>
      </c>
      <c r="P33" s="58">
        <v>36590</v>
      </c>
      <c r="Q33" s="58">
        <v>35490</v>
      </c>
      <c r="R33" s="58">
        <v>33490</v>
      </c>
      <c r="S33" s="58">
        <v>32171</v>
      </c>
      <c r="T33" s="58">
        <v>31547.483769999999</v>
      </c>
      <c r="U33" s="58">
        <v>31547.483769999999</v>
      </c>
    </row>
    <row r="34" spans="1:21" s="5" customFormat="1" ht="15.75" customHeight="1">
      <c r="A34" s="62" t="s">
        <v>11</v>
      </c>
      <c r="B34" s="63">
        <f t="shared" ref="B34:G34" si="0">SUM(B7:B33)</f>
        <v>202307.22000000003</v>
      </c>
      <c r="C34" s="63">
        <f t="shared" si="0"/>
        <v>215220.13000000006</v>
      </c>
      <c r="D34" s="63" t="e">
        <f t="shared" si="0"/>
        <v>#REF!</v>
      </c>
      <c r="E34" s="63" t="e">
        <f t="shared" si="0"/>
        <v>#REF!</v>
      </c>
      <c r="F34" s="63" t="e">
        <f t="shared" si="0"/>
        <v>#REF!</v>
      </c>
      <c r="G34" s="63" t="e">
        <f t="shared" si="0"/>
        <v>#REF!</v>
      </c>
      <c r="H34" s="63">
        <f t="shared" ref="H34:O34" si="1">SUM(H7:H33)</f>
        <v>269831.41999999993</v>
      </c>
      <c r="I34" s="63">
        <f t="shared" si="1"/>
        <v>291191.16969000001</v>
      </c>
      <c r="J34" s="63">
        <f t="shared" si="1"/>
        <v>314522.22473999998</v>
      </c>
      <c r="K34" s="63">
        <f t="shared" si="1"/>
        <v>350213.27546000003</v>
      </c>
      <c r="L34" s="63">
        <f t="shared" si="1"/>
        <v>350695.86577999993</v>
      </c>
      <c r="M34" s="63">
        <f t="shared" si="1"/>
        <v>315991.52511000005</v>
      </c>
      <c r="N34" s="63">
        <f t="shared" si="1"/>
        <v>311776.73632999999</v>
      </c>
      <c r="O34" s="63">
        <f t="shared" si="1"/>
        <v>345445.69391000003</v>
      </c>
      <c r="P34" s="63">
        <f t="shared" ref="P34:U34" si="2">SUM(P7:P33)</f>
        <v>354626.07717999996</v>
      </c>
      <c r="Q34" s="63">
        <f t="shared" si="2"/>
        <v>347843.34085000004</v>
      </c>
      <c r="R34" s="63">
        <f t="shared" si="2"/>
        <v>351856.29476000002</v>
      </c>
      <c r="S34" s="63">
        <f t="shared" si="2"/>
        <v>355111.17920999991</v>
      </c>
      <c r="T34" s="63">
        <f t="shared" si="2"/>
        <v>368369.02785999997</v>
      </c>
      <c r="U34" s="63">
        <f t="shared" si="2"/>
        <v>368322.77034999995</v>
      </c>
    </row>
    <row r="35" spans="1:21" s="5" customFormat="1" ht="17.25" customHeight="1">
      <c r="B35" s="40"/>
      <c r="C35" s="40"/>
      <c r="D35" s="40"/>
      <c r="E35" s="40"/>
      <c r="F35" s="40"/>
      <c r="G35" s="68"/>
      <c r="H35" s="68"/>
      <c r="I35" s="68"/>
      <c r="J35" s="95" t="s">
        <v>106</v>
      </c>
      <c r="K35" s="68"/>
      <c r="L35" s="68"/>
      <c r="M35" s="68"/>
    </row>
    <row r="36" spans="1:21" ht="15">
      <c r="B36" s="7"/>
      <c r="C36" s="7"/>
      <c r="D36" s="7"/>
      <c r="E36" s="7"/>
      <c r="F36" s="7"/>
      <c r="G36" s="7"/>
      <c r="H36" s="7"/>
      <c r="I36" s="7"/>
      <c r="J36" s="7"/>
      <c r="K36" s="7"/>
      <c r="L36" s="7"/>
      <c r="M36" s="7"/>
      <c r="R36" s="111"/>
      <c r="S36" s="5"/>
      <c r="T36" s="5"/>
      <c r="U36" s="5"/>
    </row>
    <row r="37" spans="1:21">
      <c r="A37" s="8" t="s">
        <v>9</v>
      </c>
      <c r="S37" s="103"/>
      <c r="T37" s="103"/>
      <c r="U37" s="103"/>
    </row>
    <row r="38" spans="1:21" ht="15.75" customHeight="1">
      <c r="A38" s="10" t="s">
        <v>53</v>
      </c>
    </row>
    <row r="40" spans="1:21" hidden="1">
      <c r="A40" s="49" t="s">
        <v>70</v>
      </c>
      <c r="B40" s="2"/>
      <c r="C40" s="2"/>
      <c r="D40" s="2"/>
      <c r="E40" s="2"/>
      <c r="F40" s="2"/>
      <c r="G40" s="2"/>
      <c r="H40" s="2"/>
      <c r="I40" s="2"/>
      <c r="J40" s="2"/>
      <c r="K40" s="2"/>
      <c r="L40" s="2"/>
      <c r="M40" s="2"/>
      <c r="N40" s="2"/>
      <c r="O40" s="2"/>
    </row>
    <row r="41" spans="1:21" hidden="1">
      <c r="A41" s="2" t="s">
        <v>13</v>
      </c>
      <c r="B41" s="3">
        <v>-133.55339764109533</v>
      </c>
      <c r="C41" s="3">
        <v>-145.03807361058557</v>
      </c>
      <c r="D41" s="3">
        <v>-155.03189949606121</v>
      </c>
      <c r="E41" s="3">
        <v>-98.461939999999913</v>
      </c>
      <c r="F41" s="3"/>
      <c r="G41" s="3"/>
      <c r="H41" s="3"/>
      <c r="I41" s="3"/>
      <c r="J41" s="3"/>
      <c r="K41" s="3"/>
      <c r="L41" s="3"/>
      <c r="M41" s="3"/>
      <c r="N41" s="2"/>
      <c r="O41" s="2"/>
    </row>
    <row r="42" spans="1:21" hidden="1">
      <c r="A42" s="2" t="s">
        <v>17</v>
      </c>
      <c r="B42" s="3">
        <v>-24186.460744986278</v>
      </c>
      <c r="C42" s="3">
        <v>-25691.920390729967</v>
      </c>
      <c r="D42" s="3">
        <v>-10739.91394</v>
      </c>
      <c r="E42" s="3"/>
      <c r="F42" s="3"/>
      <c r="G42" s="3"/>
      <c r="H42" s="3"/>
      <c r="I42" s="3"/>
      <c r="J42" s="3"/>
      <c r="K42" s="3"/>
      <c r="L42" s="3"/>
      <c r="M42" s="3"/>
      <c r="N42" s="2"/>
      <c r="O42" s="2"/>
    </row>
    <row r="43" spans="1:21" hidden="1">
      <c r="A43" s="2" t="s">
        <v>18</v>
      </c>
      <c r="B43" s="3">
        <v>-1909.5359751021219</v>
      </c>
      <c r="C43" s="3">
        <v>-278.83927154516618</v>
      </c>
      <c r="D43" s="3">
        <v>-303.89576046061575</v>
      </c>
      <c r="E43" s="3"/>
      <c r="F43" s="3"/>
      <c r="G43" s="3"/>
      <c r="H43" s="3"/>
      <c r="I43" s="3"/>
      <c r="J43" s="3"/>
      <c r="K43" s="3"/>
      <c r="L43" s="3"/>
      <c r="M43" s="3"/>
      <c r="N43" s="2"/>
      <c r="O43" s="2"/>
    </row>
    <row r="44" spans="1:21" hidden="1">
      <c r="B44" s="3"/>
      <c r="C44" s="3"/>
      <c r="D44" s="3"/>
      <c r="E44" s="3"/>
      <c r="F44" s="3"/>
      <c r="G44" s="3"/>
      <c r="H44" s="3"/>
      <c r="I44" s="3"/>
      <c r="J44" s="3"/>
      <c r="K44" s="3"/>
      <c r="L44" s="3"/>
      <c r="M44" s="3"/>
    </row>
    <row r="45" spans="1:21" s="67" customFormat="1" hidden="1">
      <c r="A45" s="64" t="s">
        <v>64</v>
      </c>
      <c r="B45" s="66" t="e">
        <f>+'16'!#REF!-'141'!B46-'141'!B47:B47</f>
        <v>#REF!</v>
      </c>
      <c r="C45" s="66" t="e">
        <f>+'16'!#REF!-'141'!C46-'141'!B47:C47</f>
        <v>#REF!</v>
      </c>
      <c r="D45" s="66">
        <f>+'16'!B219-'141'!D46-'141'!B47:D47</f>
        <v>2301.0621799999999</v>
      </c>
      <c r="E45" s="66">
        <f>+'16'!C219-'141'!E46-'141'!C47:E47</f>
        <v>2628.0733700000001</v>
      </c>
      <c r="F45" s="66">
        <f>+'16'!D219-'141'!F46-'141'!D47:F47</f>
        <v>2987.0569999999998</v>
      </c>
      <c r="G45" s="66">
        <f>+'16'!E219-'141'!G46-'141'!E47:G47</f>
        <v>3687.8142399999997</v>
      </c>
      <c r="H45" s="66">
        <f>+'16'!F219-'141'!H46-'141'!F47:H47</f>
        <v>4869.3405899999998</v>
      </c>
      <c r="I45" s="65"/>
      <c r="J45" s="65"/>
      <c r="K45" s="65"/>
      <c r="L45" s="65"/>
      <c r="M45" s="65"/>
      <c r="N45" s="65"/>
      <c r="O45" s="65"/>
      <c r="S45" s="1"/>
      <c r="T45" s="1"/>
      <c r="U45" s="1"/>
    </row>
    <row r="46" spans="1:21" hidden="1">
      <c r="A46" s="2" t="s">
        <v>97</v>
      </c>
      <c r="B46" s="3">
        <v>293.47000000000003</v>
      </c>
      <c r="C46" s="3">
        <v>319.73</v>
      </c>
      <c r="D46" s="3">
        <v>314.04000000000002</v>
      </c>
      <c r="E46" s="3">
        <v>322.97352000000001</v>
      </c>
      <c r="F46" s="3">
        <v>303.01</v>
      </c>
      <c r="G46" s="3">
        <v>315.69142999999997</v>
      </c>
      <c r="H46" s="3">
        <f>321.98</f>
        <v>321.98</v>
      </c>
      <c r="I46" s="3"/>
      <c r="J46" s="3"/>
      <c r="K46" s="3"/>
      <c r="L46" s="3"/>
      <c r="M46" s="3"/>
      <c r="N46" s="2"/>
      <c r="O46" s="2"/>
      <c r="S46" s="67"/>
      <c r="T46" s="67"/>
      <c r="U46" s="67"/>
    </row>
    <row r="47" spans="1:21" hidden="1">
      <c r="A47" s="56" t="s">
        <v>98</v>
      </c>
      <c r="B47" s="3">
        <v>931.05790000000002</v>
      </c>
      <c r="C47" s="3">
        <v>1012.4109000000001</v>
      </c>
      <c r="D47" s="3">
        <v>1176.84782</v>
      </c>
      <c r="E47" s="3">
        <v>1049.9707100000001</v>
      </c>
      <c r="F47" s="3">
        <v>1069.973</v>
      </c>
      <c r="G47" s="3">
        <v>1014.60772</v>
      </c>
      <c r="H47" s="3">
        <v>1358.01</v>
      </c>
      <c r="I47" s="3"/>
      <c r="J47" s="3"/>
      <c r="K47" s="3"/>
      <c r="L47" s="3"/>
      <c r="M47" s="3"/>
      <c r="N47" s="2"/>
      <c r="O47" s="2"/>
    </row>
    <row r="48" spans="1:21">
      <c r="B48" s="3"/>
      <c r="C48" s="3"/>
      <c r="D48" s="3"/>
      <c r="E48" s="3"/>
      <c r="F48" s="3"/>
      <c r="G48" s="3"/>
      <c r="H48" s="3"/>
      <c r="I48" s="3"/>
      <c r="J48" s="3"/>
      <c r="K48" s="3"/>
      <c r="L48" s="3"/>
      <c r="M48" s="3"/>
      <c r="N48" s="103"/>
    </row>
    <row r="49" spans="1:14">
      <c r="B49" s="3"/>
      <c r="C49" s="3"/>
      <c r="D49" s="3"/>
      <c r="E49" s="3"/>
      <c r="F49" s="3"/>
      <c r="G49" s="3"/>
      <c r="H49" s="3"/>
      <c r="I49" s="3"/>
      <c r="J49" s="3"/>
      <c r="K49" s="3"/>
      <c r="L49" s="3"/>
      <c r="M49" s="3"/>
      <c r="N49" s="2"/>
    </row>
    <row r="51" spans="1:14">
      <c r="A51" s="6" t="s">
        <v>125</v>
      </c>
    </row>
  </sheetData>
  <phoneticPr fontId="0" type="noConversion"/>
  <printOptions horizontalCentered="1"/>
  <pageMargins left="0.39370078740157483" right="0.39370078740157483" top="0.39370078740157483" bottom="0.39370078740157483" header="0" footer="0"/>
  <pageSetup paperSize="9" scale="84" orientation="landscape" horizontalDpi="1200" verticalDpi="1200" r:id="rId1"/>
  <headerFooter alignWithMargins="0">
    <oddFooter xml:space="preserve">&amp;R
</oddFooter>
  </headerFooter>
  <rowBreaks count="1" manualBreakCount="1">
    <brk id="35" max="2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AB22"/>
  <sheetViews>
    <sheetView showGridLines="0" zoomScaleNormal="100" workbookViewId="0">
      <pane xSplit="8" ySplit="6" topLeftCell="Q7" activePane="bottomRight" state="frozen"/>
      <selection activeCell="Y20" sqref="Y20"/>
      <selection pane="topRight" activeCell="Y20" sqref="Y20"/>
      <selection pane="bottomLeft" activeCell="Y20" sqref="Y20"/>
      <selection pane="bottomRight" activeCell="AB13" sqref="AB13"/>
    </sheetView>
  </sheetViews>
  <sheetFormatPr baseColWidth="10" defaultColWidth="11.42578125" defaultRowHeight="12.75"/>
  <cols>
    <col min="1" max="1" width="36.5703125" style="13" customWidth="1"/>
    <col min="2" max="16" width="9.7109375" style="12" hidden="1" customWidth="1"/>
    <col min="17" max="26" width="9.7109375" style="12" customWidth="1"/>
    <col min="27" max="27" width="11.42578125" style="12"/>
    <col min="28" max="28" width="20.140625" style="12" customWidth="1"/>
    <col min="29" max="16384" width="11.42578125" style="12"/>
  </cols>
  <sheetData>
    <row r="1" spans="1:28" ht="24.95" customHeight="1">
      <c r="A1" s="104" t="s">
        <v>110</v>
      </c>
    </row>
    <row r="2" spans="1:28" ht="24.95" customHeight="1">
      <c r="A2" s="104" t="s">
        <v>111</v>
      </c>
    </row>
    <row r="3" spans="1:28" ht="24.95" customHeight="1">
      <c r="A3" s="12"/>
    </row>
    <row r="4" spans="1:28" ht="20.100000000000001" customHeight="1">
      <c r="A4" s="41" t="s">
        <v>104</v>
      </c>
      <c r="B4" s="41"/>
      <c r="C4" s="41"/>
      <c r="D4" s="41"/>
      <c r="E4" s="41"/>
      <c r="F4" s="41"/>
      <c r="G4" s="41"/>
      <c r="H4" s="41"/>
      <c r="I4" s="41"/>
      <c r="J4" s="41"/>
      <c r="K4" s="41"/>
      <c r="L4" s="41"/>
      <c r="M4" s="41"/>
      <c r="N4" s="41"/>
      <c r="O4" s="41"/>
      <c r="P4" s="41"/>
      <c r="Q4" s="41"/>
      <c r="R4" s="41"/>
      <c r="S4" s="41"/>
      <c r="T4" s="41"/>
      <c r="U4" s="41"/>
      <c r="V4" s="41"/>
      <c r="W4" s="41"/>
      <c r="X4" s="41"/>
      <c r="Y4" s="41"/>
      <c r="Z4" s="41"/>
    </row>
    <row r="5" spans="1:28" ht="15.75" thickBot="1">
      <c r="A5" s="42" t="s">
        <v>0</v>
      </c>
      <c r="B5" s="42"/>
      <c r="C5" s="42"/>
      <c r="D5" s="42"/>
      <c r="E5" s="42"/>
      <c r="F5" s="42"/>
      <c r="G5" s="42"/>
      <c r="H5" s="42"/>
      <c r="I5" s="42"/>
      <c r="J5" s="42"/>
      <c r="K5" s="42"/>
      <c r="L5" s="42"/>
      <c r="M5" s="42"/>
      <c r="N5" s="42"/>
      <c r="O5" s="42"/>
      <c r="P5" s="42"/>
      <c r="Q5" s="42"/>
      <c r="R5" s="42"/>
      <c r="S5" s="42"/>
      <c r="T5" s="42"/>
      <c r="U5" s="42"/>
      <c r="V5" s="42"/>
      <c r="W5" s="42"/>
      <c r="X5" s="42"/>
      <c r="Y5" s="42"/>
      <c r="Z5" s="42"/>
    </row>
    <row r="6" spans="1:28" s="15" customFormat="1" ht="23.25" customHeight="1" thickBot="1">
      <c r="A6" s="43" t="s">
        <v>26</v>
      </c>
      <c r="B6" s="44" t="s">
        <v>1</v>
      </c>
      <c r="C6" s="44" t="s">
        <v>25</v>
      </c>
      <c r="D6" s="44" t="s">
        <v>2</v>
      </c>
      <c r="E6" s="44" t="s">
        <v>3</v>
      </c>
      <c r="F6" s="44" t="s">
        <v>4</v>
      </c>
      <c r="G6" s="44" t="s">
        <v>5</v>
      </c>
      <c r="H6" s="44" t="s">
        <v>6</v>
      </c>
      <c r="I6" s="44" t="s">
        <v>12</v>
      </c>
      <c r="J6" s="44" t="s">
        <v>7</v>
      </c>
      <c r="K6" s="44" t="s">
        <v>8</v>
      </c>
      <c r="L6" s="44" t="s">
        <v>55</v>
      </c>
      <c r="M6" s="55">
        <v>2006</v>
      </c>
      <c r="N6" s="55">
        <v>2007</v>
      </c>
      <c r="O6" s="55">
        <v>2008</v>
      </c>
      <c r="P6" s="55">
        <v>2009</v>
      </c>
      <c r="Q6" s="55">
        <v>2010</v>
      </c>
      <c r="R6" s="55">
        <v>2011</v>
      </c>
      <c r="S6" s="96">
        <v>2012</v>
      </c>
      <c r="T6" s="96">
        <v>2013</v>
      </c>
      <c r="U6" s="96">
        <v>2014</v>
      </c>
      <c r="V6" s="96">
        <v>2015</v>
      </c>
      <c r="W6" s="96">
        <v>2016</v>
      </c>
      <c r="X6" s="110" t="s">
        <v>114</v>
      </c>
      <c r="Y6" s="110" t="s">
        <v>115</v>
      </c>
      <c r="Z6" s="110" t="s">
        <v>434</v>
      </c>
    </row>
    <row r="7" spans="1:28" s="17" customFormat="1" ht="20.100000000000001" customHeight="1">
      <c r="A7" s="16" t="s">
        <v>48</v>
      </c>
      <c r="B7" s="30">
        <v>93897.154808697844</v>
      </c>
      <c r="C7" s="30">
        <v>97647.873018162587</v>
      </c>
      <c r="D7" s="30">
        <v>104158.61911458898</v>
      </c>
      <c r="E7" s="30">
        <v>110264.37921459739</v>
      </c>
      <c r="F7" s="30">
        <v>110529.77413965117</v>
      </c>
      <c r="G7" s="30">
        <v>118608.90339331435</v>
      </c>
      <c r="H7" s="30">
        <v>130480.09447910282</v>
      </c>
      <c r="I7" s="30">
        <v>134951.78</v>
      </c>
      <c r="J7" s="30">
        <v>144516.35999999999</v>
      </c>
      <c r="K7" s="30">
        <v>153318.98000000001</v>
      </c>
      <c r="L7" s="30">
        <v>167749.68099999998</v>
      </c>
      <c r="M7" s="30">
        <v>184189.6</v>
      </c>
      <c r="N7" s="30">
        <v>203623.06258</v>
      </c>
      <c r="O7" s="30">
        <v>220046.08596999999</v>
      </c>
      <c r="P7" s="30">
        <v>216180.84</v>
      </c>
      <c r="Q7" s="30">
        <v>198025.38565000001</v>
      </c>
      <c r="R7" s="30">
        <v>189727.49692999999</v>
      </c>
      <c r="S7" s="30">
        <v>184267.64793000001</v>
      </c>
      <c r="T7" s="30">
        <v>194043.06940000001</v>
      </c>
      <c r="U7" s="30">
        <v>192669.02280000001</v>
      </c>
      <c r="V7" s="30">
        <v>200270.92207</v>
      </c>
      <c r="W7" s="30">
        <v>209880.89937999999</v>
      </c>
      <c r="X7" s="30">
        <v>202722.57978999999</v>
      </c>
      <c r="Y7" s="30">
        <v>210024.87087000001</v>
      </c>
      <c r="Z7" s="30">
        <v>210024.87087000001</v>
      </c>
      <c r="AB7" s="170"/>
    </row>
    <row r="8" spans="1:28" s="17" customFormat="1" ht="20.100000000000001" customHeight="1">
      <c r="A8" s="18" t="s">
        <v>49</v>
      </c>
      <c r="B8" s="30">
        <v>33438.510451600494</v>
      </c>
      <c r="C8" s="30">
        <v>34769.752262810573</v>
      </c>
      <c r="D8" s="30">
        <v>37651.004291226425</v>
      </c>
      <c r="E8" s="30">
        <v>41474.042287211669</v>
      </c>
      <c r="F8" s="30">
        <v>45218.107292680877</v>
      </c>
      <c r="G8" s="30">
        <v>51434.014881059709</v>
      </c>
      <c r="H8" s="30">
        <v>54795.475580878199</v>
      </c>
      <c r="I8" s="30">
        <v>45488.79</v>
      </c>
      <c r="J8" s="30">
        <v>37741.339999999997</v>
      </c>
      <c r="K8" s="30">
        <v>39836</v>
      </c>
      <c r="L8" s="30">
        <v>43051</v>
      </c>
      <c r="M8" s="30">
        <v>45302</v>
      </c>
      <c r="N8" s="30">
        <v>50740</v>
      </c>
      <c r="O8" s="30">
        <v>53363</v>
      </c>
      <c r="P8" s="30">
        <v>50202</v>
      </c>
      <c r="Q8" s="30">
        <v>40736</v>
      </c>
      <c r="R8" s="30">
        <v>36142</v>
      </c>
      <c r="S8" s="30">
        <v>21095</v>
      </c>
      <c r="T8" s="30">
        <v>40734.453649999996</v>
      </c>
      <c r="U8" s="30">
        <v>37687.563999999998</v>
      </c>
      <c r="V8" s="30">
        <v>44156</v>
      </c>
      <c r="W8" s="30">
        <v>43476</v>
      </c>
      <c r="X8" s="30">
        <v>44532</v>
      </c>
      <c r="Y8" s="30">
        <v>47191</v>
      </c>
      <c r="Z8" s="30">
        <v>47191</v>
      </c>
    </row>
    <row r="9" spans="1:28" s="17" customFormat="1" ht="20.100000000000001" customHeight="1">
      <c r="A9" s="18" t="s">
        <v>99</v>
      </c>
      <c r="B9" s="30">
        <v>3529.6118663829889</v>
      </c>
      <c r="C9" s="30">
        <v>4393.554746192588</v>
      </c>
      <c r="D9" s="30">
        <v>4734.4728522832447</v>
      </c>
      <c r="E9" s="30">
        <v>4609.3361220294973</v>
      </c>
      <c r="F9" s="30">
        <v>4437.4526702967796</v>
      </c>
      <c r="G9" s="30">
        <v>4092.507783106752</v>
      </c>
      <c r="H9" s="30">
        <v>4810.9035615977309</v>
      </c>
      <c r="I9" s="30">
        <v>4693.6099999999997</v>
      </c>
      <c r="J9" s="30">
        <v>4308.55</v>
      </c>
      <c r="K9" s="30">
        <v>4410.6099999999997</v>
      </c>
      <c r="L9" s="30">
        <v>4208.9710000000005</v>
      </c>
      <c r="M9" s="30">
        <v>4233.12</v>
      </c>
      <c r="N9" s="30">
        <v>4768.4068299999999</v>
      </c>
      <c r="O9" s="30">
        <v>5083.1972599999999</v>
      </c>
      <c r="P9" s="30">
        <v>6569.68</v>
      </c>
      <c r="Q9" s="30">
        <v>6168.88645</v>
      </c>
      <c r="R9" s="30">
        <v>6735.2095300000001</v>
      </c>
      <c r="S9" s="30">
        <v>8716.1010100000003</v>
      </c>
      <c r="T9" s="30">
        <v>7691.8888099999995</v>
      </c>
      <c r="U9" s="30">
        <v>7085.2001499999997</v>
      </c>
      <c r="V9" s="30">
        <v>7049.0679899999996</v>
      </c>
      <c r="W9" s="30">
        <v>10158.16243</v>
      </c>
      <c r="X9" s="30">
        <v>11922.65256</v>
      </c>
      <c r="Y9" s="30">
        <v>14643.860929999999</v>
      </c>
      <c r="Z9" s="30">
        <v>14643.860929999999</v>
      </c>
      <c r="AB9" s="170"/>
    </row>
    <row r="10" spans="1:28" s="17" customFormat="1" ht="20.100000000000001" customHeight="1">
      <c r="A10" s="18" t="s">
        <v>30</v>
      </c>
      <c r="B10" s="30">
        <v>5957.7007680934694</v>
      </c>
      <c r="C10" s="30">
        <v>5684.5527868931285</v>
      </c>
      <c r="D10" s="30">
        <v>5959.1732477492096</v>
      </c>
      <c r="E10" s="30">
        <v>7438.0837330063832</v>
      </c>
      <c r="F10" s="30">
        <v>7936.9838808553604</v>
      </c>
      <c r="G10" s="30">
        <v>7761.1637998389288</v>
      </c>
      <c r="H10" s="30">
        <v>8511.4552907095549</v>
      </c>
      <c r="I10" s="30">
        <v>8731.44</v>
      </c>
      <c r="J10" s="30">
        <v>9575.44</v>
      </c>
      <c r="K10" s="30">
        <v>12220.98</v>
      </c>
      <c r="L10" s="30">
        <v>12212.972</v>
      </c>
      <c r="M10" s="30">
        <v>12536.99</v>
      </c>
      <c r="N10" s="30">
        <v>12542.179029999999</v>
      </c>
      <c r="O10" s="30">
        <v>12653.279109999999</v>
      </c>
      <c r="P10" s="30">
        <v>12207.81</v>
      </c>
      <c r="Q10" s="30">
        <v>12019.59749</v>
      </c>
      <c r="R10" s="30">
        <v>11196.464769999999</v>
      </c>
      <c r="S10" s="30">
        <v>38522.280070000001</v>
      </c>
      <c r="T10" s="30">
        <v>15560.3002</v>
      </c>
      <c r="U10" s="30">
        <v>16031.883589999999</v>
      </c>
      <c r="V10" s="30">
        <v>16356.649670000001</v>
      </c>
      <c r="W10" s="30">
        <v>14191.76434</v>
      </c>
      <c r="X10" s="30">
        <v>11716.80773</v>
      </c>
      <c r="Y10" s="30">
        <v>12223.1023</v>
      </c>
      <c r="Z10" s="30">
        <v>12223.1023</v>
      </c>
      <c r="AB10" s="170"/>
    </row>
    <row r="11" spans="1:28" s="17" customFormat="1" ht="20.100000000000001" customHeight="1">
      <c r="A11" s="19" t="s">
        <v>50</v>
      </c>
      <c r="B11" s="30">
        <v>7049.8960249059419</v>
      </c>
      <c r="C11" s="30">
        <v>9581.677544985756</v>
      </c>
      <c r="D11" s="30">
        <v>9082.6752250790341</v>
      </c>
      <c r="E11" s="30">
        <v>7850.0354597141586</v>
      </c>
      <c r="F11" s="30">
        <v>7165.542774031469</v>
      </c>
      <c r="G11" s="30">
        <v>5923.1065113651393</v>
      </c>
      <c r="H11" s="30">
        <v>6164.4910028487975</v>
      </c>
      <c r="I11" s="30">
        <v>7108.45</v>
      </c>
      <c r="J11" s="30">
        <v>6617.49</v>
      </c>
      <c r="K11" s="30">
        <v>6235.3</v>
      </c>
      <c r="L11" s="30">
        <v>3140.7269999999999</v>
      </c>
      <c r="M11" s="30">
        <v>3513.28</v>
      </c>
      <c r="N11" s="30">
        <v>4364.0338499999998</v>
      </c>
      <c r="O11" s="30">
        <v>5826.1583199999995</v>
      </c>
      <c r="P11" s="30">
        <v>6722.07</v>
      </c>
      <c r="Q11" s="30">
        <v>6726.5957199999993</v>
      </c>
      <c r="R11" s="30">
        <v>9637.2857499999991</v>
      </c>
      <c r="S11" s="30">
        <v>8831.0260999999991</v>
      </c>
      <c r="T11" s="30">
        <v>8997.18174</v>
      </c>
      <c r="U11" s="30">
        <v>9876.5653700000003</v>
      </c>
      <c r="V11" s="30">
        <v>8689.5220200000003</v>
      </c>
      <c r="W11" s="30">
        <v>6941.0916100000004</v>
      </c>
      <c r="X11" s="30">
        <v>6272.5106999999998</v>
      </c>
      <c r="Y11" s="30">
        <v>5965.7570099999994</v>
      </c>
      <c r="Z11" s="30">
        <v>5965.7570099999994</v>
      </c>
      <c r="AB11" s="170"/>
    </row>
    <row r="12" spans="1:28" s="17" customFormat="1" ht="20.100000000000001" customHeight="1">
      <c r="A12" s="20" t="s">
        <v>31</v>
      </c>
      <c r="B12" s="32">
        <f>SUM(B7:B11)</f>
        <v>143872.87391968071</v>
      </c>
      <c r="C12" s="32">
        <f t="shared" ref="C12:T12" si="0">SUM(C7:C11)</f>
        <v>152077.41035904462</v>
      </c>
      <c r="D12" s="32">
        <f t="shared" si="0"/>
        <v>161585.94473092689</v>
      </c>
      <c r="E12" s="32">
        <f t="shared" si="0"/>
        <v>171635.87681655909</v>
      </c>
      <c r="F12" s="32">
        <f t="shared" si="0"/>
        <v>175287.86075751562</v>
      </c>
      <c r="G12" s="32">
        <f t="shared" si="0"/>
        <v>187819.69636868488</v>
      </c>
      <c r="H12" s="32">
        <f t="shared" si="0"/>
        <v>204762.41991513711</v>
      </c>
      <c r="I12" s="32">
        <f t="shared" si="0"/>
        <v>200974.07</v>
      </c>
      <c r="J12" s="32">
        <f t="shared" si="0"/>
        <v>202759.17999999996</v>
      </c>
      <c r="K12" s="32">
        <f t="shared" si="0"/>
        <v>216021.87</v>
      </c>
      <c r="L12" s="32">
        <f t="shared" si="0"/>
        <v>230363.351</v>
      </c>
      <c r="M12" s="32">
        <f t="shared" si="0"/>
        <v>249774.99</v>
      </c>
      <c r="N12" s="32">
        <f t="shared" si="0"/>
        <v>276037.68229000003</v>
      </c>
      <c r="O12" s="32">
        <f t="shared" si="0"/>
        <v>296971.72065999999</v>
      </c>
      <c r="P12" s="32">
        <f t="shared" si="0"/>
        <v>291882.39999999997</v>
      </c>
      <c r="Q12" s="32">
        <f t="shared" si="0"/>
        <v>263676.46531</v>
      </c>
      <c r="R12" s="32">
        <f t="shared" si="0"/>
        <v>253438.45697999999</v>
      </c>
      <c r="S12" s="32">
        <f t="shared" si="0"/>
        <v>261432.05511000002</v>
      </c>
      <c r="T12" s="32">
        <f t="shared" si="0"/>
        <v>267026.89380000002</v>
      </c>
      <c r="U12" s="32">
        <f t="shared" ref="U12:Y12" si="1">SUM(U7:U11)</f>
        <v>263350.23590999999</v>
      </c>
      <c r="V12" s="32">
        <f t="shared" si="1"/>
        <v>276522.16174999997</v>
      </c>
      <c r="W12" s="32">
        <f t="shared" si="1"/>
        <v>284647.91775999998</v>
      </c>
      <c r="X12" s="32">
        <f t="shared" si="1"/>
        <v>277166.55077999993</v>
      </c>
      <c r="Y12" s="32">
        <f t="shared" si="1"/>
        <v>290048.59111000004</v>
      </c>
      <c r="Z12" s="32">
        <f t="shared" ref="Z12" si="2">SUM(Z7:Z11)</f>
        <v>290048.59111000004</v>
      </c>
      <c r="AB12" s="170"/>
    </row>
    <row r="13" spans="1:28" s="17" customFormat="1" ht="20.100000000000001" customHeight="1">
      <c r="A13" s="16" t="s">
        <v>51</v>
      </c>
      <c r="B13" s="30">
        <v>111.84835262582189</v>
      </c>
      <c r="C13" s="30">
        <v>120.18439051362495</v>
      </c>
      <c r="D13" s="30">
        <v>148.92478934525741</v>
      </c>
      <c r="E13" s="30">
        <v>274.25384347240754</v>
      </c>
      <c r="F13" s="30">
        <v>265.83967401103462</v>
      </c>
      <c r="G13" s="30">
        <v>382.18960729869099</v>
      </c>
      <c r="H13" s="30">
        <v>339.34946449821501</v>
      </c>
      <c r="I13" s="30">
        <v>397.35</v>
      </c>
      <c r="J13" s="30">
        <v>498.45</v>
      </c>
      <c r="K13" s="30">
        <v>534.45989999999995</v>
      </c>
      <c r="L13" s="30">
        <v>567.06299999999999</v>
      </c>
      <c r="M13" s="30">
        <v>563.58000000000004</v>
      </c>
      <c r="N13" s="30">
        <v>552.81934000000001</v>
      </c>
      <c r="O13" s="30">
        <v>571.29019000000005</v>
      </c>
      <c r="P13" s="30">
        <v>367.65</v>
      </c>
      <c r="Q13" s="30">
        <v>335.26040999999998</v>
      </c>
      <c r="R13" s="30">
        <v>283.26729999999998</v>
      </c>
      <c r="S13" s="30">
        <v>287.92259000000001</v>
      </c>
      <c r="T13" s="30">
        <v>233.56359</v>
      </c>
      <c r="U13" s="30">
        <v>470.9418</v>
      </c>
      <c r="V13" s="30">
        <v>294.25725</v>
      </c>
      <c r="W13" s="30">
        <v>363.57428999999996</v>
      </c>
      <c r="X13" s="30">
        <v>337.63164999999998</v>
      </c>
      <c r="Y13" s="30">
        <v>231.67953</v>
      </c>
      <c r="Z13" s="30">
        <v>231.67953</v>
      </c>
      <c r="AB13" s="170"/>
    </row>
    <row r="14" spans="1:28" s="17" customFormat="1" ht="20.100000000000001" customHeight="1">
      <c r="A14" s="18" t="s">
        <v>33</v>
      </c>
      <c r="B14" s="30">
        <v>1886.2584592453693</v>
      </c>
      <c r="C14" s="30">
        <v>1945.8848701212844</v>
      </c>
      <c r="D14" s="30">
        <v>1887.8992222903369</v>
      </c>
      <c r="E14" s="30">
        <v>2023.090885050425</v>
      </c>
      <c r="F14" s="30">
        <v>2401.752551296383</v>
      </c>
      <c r="G14" s="30">
        <v>2292.0137511569483</v>
      </c>
      <c r="H14" s="30">
        <v>2502.5663216857188</v>
      </c>
      <c r="I14" s="30">
        <v>2367.86</v>
      </c>
      <c r="J14" s="30">
        <v>2773.27</v>
      </c>
      <c r="K14" s="30">
        <v>2841.6882999999998</v>
      </c>
      <c r="L14" s="30">
        <v>2595.7869999999998</v>
      </c>
      <c r="M14" s="30">
        <v>2773.28</v>
      </c>
      <c r="N14" s="30">
        <v>3005.85293</v>
      </c>
      <c r="O14" s="30">
        <v>4070.9302600000001</v>
      </c>
      <c r="P14" s="30">
        <v>2686.97</v>
      </c>
      <c r="Q14" s="30">
        <v>3733.0983500000002</v>
      </c>
      <c r="R14" s="30">
        <v>2188.2251900000001</v>
      </c>
      <c r="S14" s="30">
        <v>2096.3187699999999</v>
      </c>
      <c r="T14" s="30">
        <v>1845.7949099999998</v>
      </c>
      <c r="U14" s="30">
        <v>2328.9430400000001</v>
      </c>
      <c r="V14" s="30">
        <v>2925.7242799999999</v>
      </c>
      <c r="W14" s="30">
        <v>2620.95651</v>
      </c>
      <c r="X14" s="30">
        <v>2707.58896</v>
      </c>
      <c r="Y14" s="30">
        <v>2917.98884</v>
      </c>
      <c r="Z14" s="30">
        <v>2917.98884</v>
      </c>
      <c r="AB14" s="170"/>
    </row>
    <row r="15" spans="1:28" s="17" customFormat="1" ht="20.100000000000001" customHeight="1">
      <c r="A15" s="21" t="s">
        <v>34</v>
      </c>
      <c r="B15" s="32">
        <f>SUM(B13:B14)</f>
        <v>1998.1068118711912</v>
      </c>
      <c r="C15" s="32">
        <f t="shared" ref="C15:T15" si="3">SUM(C13:C14)</f>
        <v>2066.0692606349094</v>
      </c>
      <c r="D15" s="32">
        <f t="shared" si="3"/>
        <v>2036.8240116355942</v>
      </c>
      <c r="E15" s="32">
        <f t="shared" si="3"/>
        <v>2297.3447285228326</v>
      </c>
      <c r="F15" s="32">
        <f t="shared" si="3"/>
        <v>2667.5922253074177</v>
      </c>
      <c r="G15" s="32">
        <f t="shared" si="3"/>
        <v>2674.2033584556393</v>
      </c>
      <c r="H15" s="32">
        <f t="shared" si="3"/>
        <v>2841.915786183934</v>
      </c>
      <c r="I15" s="32">
        <f t="shared" si="3"/>
        <v>2765.21</v>
      </c>
      <c r="J15" s="32">
        <f t="shared" si="3"/>
        <v>3271.72</v>
      </c>
      <c r="K15" s="32">
        <f t="shared" si="3"/>
        <v>3376.1481999999996</v>
      </c>
      <c r="L15" s="32">
        <f t="shared" si="3"/>
        <v>3162.85</v>
      </c>
      <c r="M15" s="32">
        <f t="shared" si="3"/>
        <v>3336.86</v>
      </c>
      <c r="N15" s="32">
        <f t="shared" si="3"/>
        <v>3558.67227</v>
      </c>
      <c r="O15" s="32">
        <f t="shared" si="3"/>
        <v>4642.2204499999998</v>
      </c>
      <c r="P15" s="32">
        <f t="shared" si="3"/>
        <v>3054.62</v>
      </c>
      <c r="Q15" s="32">
        <f t="shared" si="3"/>
        <v>4068.3587600000001</v>
      </c>
      <c r="R15" s="32">
        <f t="shared" si="3"/>
        <v>2471.4924900000001</v>
      </c>
      <c r="S15" s="32">
        <f t="shared" si="3"/>
        <v>2384.24136</v>
      </c>
      <c r="T15" s="32">
        <f t="shared" si="3"/>
        <v>2079.3584999999998</v>
      </c>
      <c r="U15" s="32">
        <f t="shared" ref="U15:Y15" si="4">SUM(U13:U14)</f>
        <v>2799.8848400000002</v>
      </c>
      <c r="V15" s="32">
        <f t="shared" si="4"/>
        <v>3219.98153</v>
      </c>
      <c r="W15" s="32">
        <f t="shared" si="4"/>
        <v>2984.5308</v>
      </c>
      <c r="X15" s="32">
        <f t="shared" si="4"/>
        <v>3045.2206099999999</v>
      </c>
      <c r="Y15" s="32">
        <f t="shared" si="4"/>
        <v>3149.6683699999999</v>
      </c>
      <c r="Z15" s="32">
        <f t="shared" ref="Z15" si="5">SUM(Z13:Z14)</f>
        <v>3149.6683699999999</v>
      </c>
      <c r="AB15" s="170"/>
    </row>
    <row r="16" spans="1:28" s="23" customFormat="1" ht="20.100000000000001" customHeight="1">
      <c r="A16" s="22" t="s">
        <v>35</v>
      </c>
      <c r="B16" s="33">
        <f>SUM(B15,B12)</f>
        <v>145870.98073155191</v>
      </c>
      <c r="C16" s="33">
        <f t="shared" ref="C16:T16" si="6">SUM(C15,C12)</f>
        <v>154143.47961967954</v>
      </c>
      <c r="D16" s="33">
        <f t="shared" si="6"/>
        <v>163622.76874256248</v>
      </c>
      <c r="E16" s="33">
        <f t="shared" si="6"/>
        <v>173933.22154508193</v>
      </c>
      <c r="F16" s="33">
        <f t="shared" si="6"/>
        <v>177955.45298282304</v>
      </c>
      <c r="G16" s="33">
        <f t="shared" si="6"/>
        <v>190493.89972714052</v>
      </c>
      <c r="H16" s="33">
        <f t="shared" si="6"/>
        <v>207604.33570132105</v>
      </c>
      <c r="I16" s="33">
        <f t="shared" si="6"/>
        <v>203739.28</v>
      </c>
      <c r="J16" s="33">
        <f t="shared" si="6"/>
        <v>206030.89999999997</v>
      </c>
      <c r="K16" s="33">
        <f t="shared" si="6"/>
        <v>219398.01819999999</v>
      </c>
      <c r="L16" s="33">
        <f t="shared" si="6"/>
        <v>233526.201</v>
      </c>
      <c r="M16" s="33">
        <f t="shared" si="6"/>
        <v>253111.84999999998</v>
      </c>
      <c r="N16" s="33">
        <f t="shared" si="6"/>
        <v>279596.35456000001</v>
      </c>
      <c r="O16" s="33">
        <f t="shared" si="6"/>
        <v>301613.94111000001</v>
      </c>
      <c r="P16" s="33">
        <f t="shared" si="6"/>
        <v>294937.01999999996</v>
      </c>
      <c r="Q16" s="33">
        <f t="shared" si="6"/>
        <v>267744.82406999997</v>
      </c>
      <c r="R16" s="33">
        <f t="shared" si="6"/>
        <v>255909.94946999999</v>
      </c>
      <c r="S16" s="33">
        <f t="shared" si="6"/>
        <v>263816.29647</v>
      </c>
      <c r="T16" s="33">
        <f t="shared" si="6"/>
        <v>269106.25229999999</v>
      </c>
      <c r="U16" s="33">
        <f t="shared" ref="U16:Y16" si="7">SUM(U15,U12)</f>
        <v>266150.12075</v>
      </c>
      <c r="V16" s="33">
        <f t="shared" si="7"/>
        <v>279742.14327999996</v>
      </c>
      <c r="W16" s="33">
        <f t="shared" si="7"/>
        <v>287632.44855999999</v>
      </c>
      <c r="X16" s="33">
        <f t="shared" si="7"/>
        <v>280211.77138999995</v>
      </c>
      <c r="Y16" s="33">
        <f t="shared" si="7"/>
        <v>293198.25948000007</v>
      </c>
      <c r="Z16" s="33">
        <f t="shared" ref="Z16" si="8">SUM(Z15,Z12)</f>
        <v>293198.25948000007</v>
      </c>
      <c r="AA16" s="17"/>
      <c r="AB16" s="171"/>
    </row>
    <row r="17" spans="1:28" s="17" customFormat="1" ht="20.100000000000001" customHeight="1">
      <c r="A17" s="18" t="s">
        <v>36</v>
      </c>
      <c r="B17" s="30">
        <v>726.09474354813506</v>
      </c>
      <c r="C17" s="30">
        <v>1264.9621963386344</v>
      </c>
      <c r="D17" s="30">
        <v>1385.3689613308813</v>
      </c>
      <c r="E17" s="30">
        <v>1038.1282079021071</v>
      </c>
      <c r="F17" s="30">
        <v>1592.7602081905929</v>
      </c>
      <c r="G17" s="30">
        <v>1633.5388794730327</v>
      </c>
      <c r="H17" s="30">
        <v>1869.6224441960262</v>
      </c>
      <c r="I17" s="30">
        <v>2155.88</v>
      </c>
      <c r="J17" s="30">
        <v>1527.5</v>
      </c>
      <c r="K17" s="30">
        <v>1730.2</v>
      </c>
      <c r="L17" s="30">
        <v>2051.654</v>
      </c>
      <c r="M17" s="30">
        <v>2637.42</v>
      </c>
      <c r="N17" s="30">
        <v>4134.1759400000001</v>
      </c>
      <c r="O17" s="30">
        <v>6945.0577300000004</v>
      </c>
      <c r="P17" s="30">
        <v>6498.28</v>
      </c>
      <c r="Q17" s="30">
        <v>6258.8205900000003</v>
      </c>
      <c r="R17" s="30">
        <v>16453.341230000002</v>
      </c>
      <c r="S17" s="30">
        <v>12574.14847</v>
      </c>
      <c r="T17" s="30">
        <v>5345.2974400000003</v>
      </c>
      <c r="U17" s="30">
        <v>15528.28968</v>
      </c>
      <c r="V17" s="30">
        <v>18577.107350000002</v>
      </c>
      <c r="W17" s="30">
        <v>11399.8964</v>
      </c>
      <c r="X17" s="30">
        <v>11879.09064</v>
      </c>
      <c r="Y17" s="30">
        <v>7704.9516800000001</v>
      </c>
      <c r="Z17" s="30">
        <v>7704.9516800000001</v>
      </c>
      <c r="AA17" s="23"/>
      <c r="AB17" s="170"/>
    </row>
    <row r="18" spans="1:28" s="25" customFormat="1" ht="23.1" customHeight="1">
      <c r="A18" s="35" t="s">
        <v>52</v>
      </c>
      <c r="B18" s="33">
        <f>+B16+B17</f>
        <v>146597.07547510005</v>
      </c>
      <c r="C18" s="33">
        <f t="shared" ref="C18:T18" si="9">+C16+C17</f>
        <v>155408.44181601817</v>
      </c>
      <c r="D18" s="33">
        <f t="shared" si="9"/>
        <v>165008.13770389336</v>
      </c>
      <c r="E18" s="33">
        <f t="shared" si="9"/>
        <v>174971.34975298404</v>
      </c>
      <c r="F18" s="33">
        <f t="shared" si="9"/>
        <v>179548.21319101364</v>
      </c>
      <c r="G18" s="33">
        <f t="shared" si="9"/>
        <v>192127.43860661355</v>
      </c>
      <c r="H18" s="33">
        <f t="shared" si="9"/>
        <v>209473.95814551707</v>
      </c>
      <c r="I18" s="33">
        <f t="shared" si="9"/>
        <v>205895.16</v>
      </c>
      <c r="J18" s="33">
        <f t="shared" si="9"/>
        <v>207558.39999999997</v>
      </c>
      <c r="K18" s="33">
        <f t="shared" si="9"/>
        <v>221128.2182</v>
      </c>
      <c r="L18" s="33">
        <f t="shared" si="9"/>
        <v>235577.85500000001</v>
      </c>
      <c r="M18" s="33">
        <f t="shared" si="9"/>
        <v>255749.27</v>
      </c>
      <c r="N18" s="33">
        <f t="shared" si="9"/>
        <v>283730.53049999999</v>
      </c>
      <c r="O18" s="33">
        <f t="shared" si="9"/>
        <v>308558.99884000001</v>
      </c>
      <c r="P18" s="33">
        <f t="shared" si="9"/>
        <v>301435.3</v>
      </c>
      <c r="Q18" s="33">
        <f t="shared" si="9"/>
        <v>274003.64465999999</v>
      </c>
      <c r="R18" s="33">
        <f t="shared" si="9"/>
        <v>272363.29070000001</v>
      </c>
      <c r="S18" s="33">
        <f t="shared" si="9"/>
        <v>276390.44494000002</v>
      </c>
      <c r="T18" s="33">
        <f t="shared" si="9"/>
        <v>274451.54973999999</v>
      </c>
      <c r="U18" s="33">
        <f t="shared" ref="U18:Y18" si="10">+U16+U17</f>
        <v>281678.41042999999</v>
      </c>
      <c r="V18" s="33">
        <f t="shared" si="10"/>
        <v>298319.25062999997</v>
      </c>
      <c r="W18" s="33">
        <f t="shared" si="10"/>
        <v>299032.34496000002</v>
      </c>
      <c r="X18" s="33">
        <f t="shared" si="10"/>
        <v>292090.86202999996</v>
      </c>
      <c r="Y18" s="33">
        <f t="shared" si="10"/>
        <v>300903.21116000006</v>
      </c>
      <c r="Z18" s="33">
        <f t="shared" ref="Z18" si="11">+Z16+Z17</f>
        <v>300903.21116000006</v>
      </c>
      <c r="AB18" s="172"/>
    </row>
    <row r="19" spans="1:28" s="25" customFormat="1" ht="23.1" customHeight="1">
      <c r="A19" s="16"/>
      <c r="B19" s="54"/>
      <c r="C19" s="54"/>
      <c r="D19" s="54"/>
      <c r="E19" s="54"/>
      <c r="F19" s="54"/>
      <c r="G19" s="54"/>
      <c r="H19" s="54"/>
      <c r="I19" s="54"/>
      <c r="J19" s="54"/>
      <c r="K19" s="54"/>
      <c r="L19" s="54"/>
      <c r="M19" s="54"/>
      <c r="N19" s="54"/>
      <c r="O19" s="54"/>
      <c r="P19" s="54"/>
      <c r="Q19" s="54"/>
    </row>
    <row r="20" spans="1:28">
      <c r="A20" s="26"/>
      <c r="B20" s="27"/>
      <c r="C20" s="27"/>
      <c r="D20" s="27"/>
      <c r="E20" s="27"/>
      <c r="F20" s="27"/>
      <c r="G20" s="27"/>
      <c r="H20" s="27"/>
      <c r="I20" s="27"/>
      <c r="J20" s="27"/>
      <c r="K20" s="27"/>
      <c r="L20" s="27"/>
      <c r="M20" s="27"/>
      <c r="N20" s="27"/>
      <c r="O20" s="27"/>
      <c r="P20" s="27"/>
      <c r="Q20" s="27"/>
    </row>
    <row r="21" spans="1:28" ht="14.25">
      <c r="A21" s="28" t="s">
        <v>40</v>
      </c>
      <c r="B21" s="29"/>
      <c r="X21" s="39"/>
      <c r="Y21" s="39"/>
      <c r="Z21" s="39"/>
    </row>
    <row r="22" spans="1:28">
      <c r="A22" s="45" t="s">
        <v>53</v>
      </c>
    </row>
  </sheetData>
  <phoneticPr fontId="0" type="noConversion"/>
  <printOptions horizontalCentered="1"/>
  <pageMargins left="0.75" right="0.75" top="0.39370078740157483" bottom="1" header="0" footer="0"/>
  <pageSetup paperSize="9" scale="99" orientation="landscape"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6"/>
  <sheetViews>
    <sheetView showGridLines="0" zoomScaleNormal="100" zoomScaleSheetLayoutView="115" workbookViewId="0">
      <pane xSplit="1" ySplit="6" topLeftCell="B7" activePane="bottomRight" state="frozen"/>
      <selection activeCell="Y20" sqref="Y20"/>
      <selection pane="topRight" activeCell="Y20" sqref="Y20"/>
      <selection pane="bottomLeft" activeCell="Y20" sqref="Y20"/>
      <selection pane="bottomRight" activeCell="S6" sqref="S6"/>
    </sheetView>
  </sheetViews>
  <sheetFormatPr baseColWidth="10" defaultColWidth="11.42578125" defaultRowHeight="12.75"/>
  <cols>
    <col min="1" max="1" width="64.140625" style="117" customWidth="1"/>
    <col min="2" max="9" width="8.7109375" style="116" hidden="1" customWidth="1"/>
    <col min="10" max="12" width="8.7109375" style="116" customWidth="1"/>
    <col min="13" max="19" width="9.7109375" style="116" customWidth="1"/>
    <col min="20" max="16384" width="11.42578125" style="116"/>
  </cols>
  <sheetData>
    <row r="1" spans="1:19" s="156" customFormat="1" ht="24.95" customHeight="1">
      <c r="A1" s="159" t="s">
        <v>110</v>
      </c>
    </row>
    <row r="2" spans="1:19" s="156" customFormat="1" ht="24.95" customHeight="1">
      <c r="A2" s="159" t="s">
        <v>111</v>
      </c>
      <c r="I2" s="157"/>
      <c r="J2" s="157"/>
    </row>
    <row r="3" spans="1:19" s="156" customFormat="1" ht="24.95" customHeight="1">
      <c r="A3" s="158"/>
      <c r="H3" s="157"/>
    </row>
    <row r="4" spans="1:19" s="133" customFormat="1" ht="20.100000000000001" customHeight="1">
      <c r="A4" s="155" t="s">
        <v>423</v>
      </c>
      <c r="B4" s="155"/>
      <c r="C4" s="155"/>
      <c r="D4" s="155"/>
      <c r="E4" s="155"/>
      <c r="F4" s="155"/>
      <c r="G4" s="155"/>
      <c r="H4" s="155"/>
      <c r="I4" s="155"/>
      <c r="J4" s="155"/>
      <c r="K4" s="155"/>
      <c r="L4" s="155"/>
      <c r="M4" s="155"/>
      <c r="N4" s="155"/>
      <c r="O4" s="155"/>
      <c r="P4" s="155"/>
      <c r="Q4" s="155"/>
      <c r="R4" s="155"/>
      <c r="S4" s="155"/>
    </row>
    <row r="5" spans="1:19" s="133" customFormat="1" ht="15.75" thickBot="1">
      <c r="A5" s="154" t="s">
        <v>0</v>
      </c>
      <c r="B5" s="154"/>
      <c r="C5" s="154"/>
      <c r="D5" s="154"/>
      <c r="E5" s="154"/>
      <c r="F5" s="154"/>
      <c r="G5" s="154"/>
      <c r="H5" s="154"/>
      <c r="I5" s="154"/>
      <c r="J5" s="154"/>
      <c r="K5" s="154"/>
      <c r="L5" s="154"/>
      <c r="M5" s="154"/>
      <c r="N5" s="154"/>
      <c r="O5" s="154"/>
      <c r="P5" s="154"/>
      <c r="Q5" s="154"/>
      <c r="R5" s="154"/>
      <c r="S5" s="154"/>
    </row>
    <row r="6" spans="1:19" s="148" customFormat="1" ht="23.25" customHeight="1" thickBot="1">
      <c r="A6" s="153" t="s">
        <v>422</v>
      </c>
      <c r="B6" s="151" t="s">
        <v>12</v>
      </c>
      <c r="C6" s="151" t="s">
        <v>7</v>
      </c>
      <c r="D6" s="151">
        <v>2004</v>
      </c>
      <c r="E6" s="151">
        <v>2005</v>
      </c>
      <c r="F6" s="151" t="s">
        <v>421</v>
      </c>
      <c r="G6" s="151">
        <v>2007</v>
      </c>
      <c r="H6" s="152" t="s">
        <v>420</v>
      </c>
      <c r="I6" s="151">
        <v>2009</v>
      </c>
      <c r="J6" s="151">
        <v>2010</v>
      </c>
      <c r="K6" s="151">
        <v>2011</v>
      </c>
      <c r="L6" s="151">
        <v>2012</v>
      </c>
      <c r="M6" s="150">
        <v>2013</v>
      </c>
      <c r="N6" s="150">
        <v>2014</v>
      </c>
      <c r="O6" s="150">
        <v>2015</v>
      </c>
      <c r="P6" s="150">
        <v>2016</v>
      </c>
      <c r="Q6" s="149" t="s">
        <v>114</v>
      </c>
      <c r="R6" s="149" t="s">
        <v>115</v>
      </c>
      <c r="S6" s="110" t="s">
        <v>434</v>
      </c>
    </row>
    <row r="7" spans="1:19" s="118" customFormat="1" ht="16.149999999999999" customHeight="1">
      <c r="A7" s="120" t="s">
        <v>419</v>
      </c>
      <c r="B7" s="131">
        <v>20.47</v>
      </c>
      <c r="C7" s="119">
        <v>26.094830000000002</v>
      </c>
      <c r="D7" s="147">
        <v>31.36</v>
      </c>
      <c r="E7" s="146">
        <v>35.015039999999999</v>
      </c>
      <c r="F7" s="146">
        <v>35.94</v>
      </c>
      <c r="G7" s="146">
        <v>37.873280000000001</v>
      </c>
      <c r="H7" s="146">
        <v>39.516120000000001</v>
      </c>
      <c r="I7" s="146">
        <v>40.914000000000001</v>
      </c>
      <c r="J7" s="146">
        <v>42.615199999999994</v>
      </c>
      <c r="K7" s="146">
        <v>37.89</v>
      </c>
      <c r="L7" s="146">
        <v>35.759180000000001</v>
      </c>
      <c r="M7" s="146">
        <v>32.995110000000004</v>
      </c>
      <c r="N7" s="146">
        <v>31.91</v>
      </c>
      <c r="O7" s="146">
        <v>31.185459999999999</v>
      </c>
      <c r="P7" s="146">
        <v>31.672750000000001</v>
      </c>
      <c r="Q7" s="146">
        <v>32.144750000000002</v>
      </c>
      <c r="R7" s="146">
        <v>33.60716</v>
      </c>
      <c r="S7" s="146">
        <v>33.60716</v>
      </c>
    </row>
    <row r="8" spans="1:19" s="118" customFormat="1" ht="16.149999999999999" customHeight="1">
      <c r="A8" s="120" t="s">
        <v>418</v>
      </c>
      <c r="B8" s="131">
        <v>52.37</v>
      </c>
      <c r="C8" s="119">
        <v>41.37556</v>
      </c>
      <c r="D8" s="147">
        <v>43.13</v>
      </c>
      <c r="E8" s="146">
        <v>46.11</v>
      </c>
      <c r="F8" s="146">
        <v>50.66</v>
      </c>
      <c r="G8" s="146">
        <v>53.178130000000003</v>
      </c>
      <c r="H8" s="146">
        <v>57.636429999999997</v>
      </c>
      <c r="I8" s="146">
        <v>65.751999999999995</v>
      </c>
      <c r="J8" s="146">
        <v>65.481560000000002</v>
      </c>
      <c r="K8" s="146">
        <v>62.05</v>
      </c>
      <c r="L8" s="146">
        <v>55.306429999999999</v>
      </c>
      <c r="M8" s="146">
        <v>50.871790000000004</v>
      </c>
      <c r="N8" s="146">
        <v>50.21</v>
      </c>
      <c r="O8" s="146">
        <v>46.691809999999997</v>
      </c>
      <c r="P8" s="146">
        <v>45.240199999999994</v>
      </c>
      <c r="Q8" s="146">
        <v>48.416730000000001</v>
      </c>
      <c r="R8" s="146">
        <v>50.23704</v>
      </c>
      <c r="S8" s="146">
        <v>50.23704</v>
      </c>
    </row>
    <row r="9" spans="1:19" s="118" customFormat="1" ht="16.149999999999999" customHeight="1">
      <c r="A9" s="120" t="s">
        <v>417</v>
      </c>
      <c r="B9" s="131">
        <v>21.09</v>
      </c>
      <c r="C9" s="119">
        <v>21.344099999999997</v>
      </c>
      <c r="D9" s="147">
        <v>18.98</v>
      </c>
      <c r="E9" s="146">
        <v>18.635190000000001</v>
      </c>
      <c r="F9" s="146">
        <v>18.489999999999998</v>
      </c>
      <c r="G9" s="146">
        <v>21.14611</v>
      </c>
      <c r="H9" s="146">
        <v>23.11111</v>
      </c>
      <c r="I9" s="146">
        <v>25.798999999999999</v>
      </c>
      <c r="J9" s="146">
        <v>25.160330000000002</v>
      </c>
      <c r="K9" s="146">
        <v>26.69</v>
      </c>
      <c r="L9" s="146">
        <v>26.452819999999999</v>
      </c>
      <c r="M9" s="146">
        <v>21.483240000000002</v>
      </c>
      <c r="N9" s="146">
        <v>17.690000000000001</v>
      </c>
      <c r="O9" s="146">
        <v>15.37241</v>
      </c>
      <c r="P9" s="146">
        <v>14.54744</v>
      </c>
      <c r="Q9" s="146">
        <v>15.24844</v>
      </c>
      <c r="R9" s="146">
        <v>15.23034</v>
      </c>
      <c r="S9" s="146">
        <v>15.23034</v>
      </c>
    </row>
    <row r="10" spans="1:19" s="118" customFormat="1" ht="16.149999999999999" customHeight="1">
      <c r="A10" s="120" t="s">
        <v>416</v>
      </c>
      <c r="B10" s="131">
        <v>7.1</v>
      </c>
      <c r="C10" s="119">
        <v>8.6075900000000001</v>
      </c>
      <c r="D10" s="147">
        <v>7.4</v>
      </c>
      <c r="E10" s="146">
        <v>8.6972199999999997</v>
      </c>
      <c r="F10" s="146">
        <v>10.4</v>
      </c>
      <c r="G10" s="146">
        <v>9.9712499999999995</v>
      </c>
      <c r="H10" s="146">
        <v>10.236660000000001</v>
      </c>
      <c r="I10" s="146">
        <v>10.327999999999999</v>
      </c>
      <c r="J10" s="146">
        <v>10.33526</v>
      </c>
      <c r="K10" s="146">
        <v>9.6300000000000008</v>
      </c>
      <c r="L10" s="146">
        <v>9.1405100000000008</v>
      </c>
      <c r="M10" s="146">
        <v>8.3006200000000003</v>
      </c>
      <c r="N10" s="146">
        <v>8.35</v>
      </c>
      <c r="O10" s="146">
        <v>8.3256899999999998</v>
      </c>
      <c r="P10" s="146">
        <v>8.6633700000000005</v>
      </c>
      <c r="Q10" s="146">
        <v>8.8814799999999998</v>
      </c>
      <c r="R10" s="146">
        <v>9.2886399999999991</v>
      </c>
      <c r="S10" s="146">
        <v>9.2886399999999991</v>
      </c>
    </row>
    <row r="11" spans="1:19" s="118" customFormat="1" ht="16.149999999999999" customHeight="1">
      <c r="A11" s="120" t="s">
        <v>415</v>
      </c>
      <c r="B11" s="131">
        <v>6.16</v>
      </c>
      <c r="C11" s="119">
        <v>6.7823400000000005</v>
      </c>
      <c r="D11" s="147">
        <v>7.2</v>
      </c>
      <c r="E11" s="146">
        <v>7.9312800000000001</v>
      </c>
      <c r="F11" s="146">
        <v>13</v>
      </c>
      <c r="G11" s="146">
        <v>13.86774</v>
      </c>
      <c r="H11" s="146">
        <v>14.83869</v>
      </c>
      <c r="I11" s="146">
        <v>18.015000000000001</v>
      </c>
      <c r="J11" s="146">
        <v>18.40897</v>
      </c>
      <c r="K11" s="146">
        <v>11.78</v>
      </c>
      <c r="L11" s="146">
        <v>11.4512</v>
      </c>
      <c r="M11" s="146">
        <v>8.1857000000000006</v>
      </c>
      <c r="N11" s="146">
        <v>6.52</v>
      </c>
      <c r="O11" s="146">
        <v>6.8123100000000001</v>
      </c>
      <c r="P11" s="146">
        <v>9.25014</v>
      </c>
      <c r="Q11" s="146">
        <v>8.3074399999999997</v>
      </c>
      <c r="R11" s="146">
        <v>7.6013700000000002</v>
      </c>
      <c r="S11" s="146">
        <v>7.6013700000000002</v>
      </c>
    </row>
    <row r="12" spans="1:19" s="118" customFormat="1" ht="16.149999999999999" customHeight="1">
      <c r="A12" s="120" t="s">
        <v>414</v>
      </c>
      <c r="B12" s="131"/>
      <c r="C12" s="119"/>
      <c r="D12" s="147"/>
      <c r="E12" s="146"/>
      <c r="F12" s="146"/>
      <c r="G12" s="146"/>
      <c r="H12" s="146"/>
      <c r="I12" s="146"/>
      <c r="J12" s="146"/>
      <c r="K12" s="146">
        <v>4.93</v>
      </c>
      <c r="L12" s="146">
        <v>6.2146999999999997</v>
      </c>
      <c r="M12" s="146">
        <v>3.3901699999999999</v>
      </c>
      <c r="N12" s="146">
        <v>2.2400000000000002</v>
      </c>
      <c r="O12" s="146">
        <v>3.6841200000000001</v>
      </c>
      <c r="P12" s="146">
        <v>3.0980100000000004</v>
      </c>
      <c r="Q12" s="146">
        <v>2.9472399999999999</v>
      </c>
      <c r="R12" s="146">
        <v>2.4474</v>
      </c>
      <c r="S12" s="146">
        <v>2.4474</v>
      </c>
    </row>
    <row r="13" spans="1:19" s="118" customFormat="1" ht="16.149999999999999" customHeight="1">
      <c r="A13" s="120" t="s">
        <v>413</v>
      </c>
      <c r="B13" s="131">
        <v>983.68</v>
      </c>
      <c r="C13" s="119">
        <v>992.74356999999998</v>
      </c>
      <c r="D13" s="147">
        <v>968.2</v>
      </c>
      <c r="E13" s="146">
        <v>1050.6979099999999</v>
      </c>
      <c r="F13" s="146">
        <v>1185.26</v>
      </c>
      <c r="G13" s="146">
        <v>1295.30503</v>
      </c>
      <c r="H13" s="146">
        <v>1380.20587</v>
      </c>
      <c r="I13" s="146">
        <v>1457.377</v>
      </c>
      <c r="J13" s="145">
        <v>1611.46515</v>
      </c>
      <c r="K13" s="145">
        <v>1529.33</v>
      </c>
      <c r="L13" s="145">
        <v>1442.18166</v>
      </c>
      <c r="M13" s="145">
        <v>1390.6822299999999</v>
      </c>
      <c r="N13" s="145">
        <v>1359.38</v>
      </c>
      <c r="O13" s="145">
        <v>1371.6269</v>
      </c>
      <c r="P13" s="145">
        <v>1465.0241299999998</v>
      </c>
      <c r="Q13" s="145">
        <v>1580.1838299999999</v>
      </c>
      <c r="R13" s="145">
        <v>1628.2016799999999</v>
      </c>
      <c r="S13" s="145">
        <v>1628.2016799999999</v>
      </c>
    </row>
    <row r="14" spans="1:19" s="118" customFormat="1" ht="16.149999999999999" customHeight="1" thickBot="1">
      <c r="A14" s="120" t="s">
        <v>412</v>
      </c>
      <c r="B14" s="131">
        <v>15.49</v>
      </c>
      <c r="C14" s="119">
        <v>17.191080000000003</v>
      </c>
      <c r="D14" s="147">
        <v>14.89</v>
      </c>
      <c r="E14" s="146">
        <v>17.23903</v>
      </c>
      <c r="F14" s="146">
        <v>18.899999999999999</v>
      </c>
      <c r="G14" s="146">
        <v>20.13768</v>
      </c>
      <c r="H14" s="146">
        <v>38.484650000000002</v>
      </c>
      <c r="I14" s="146">
        <v>40.305</v>
      </c>
      <c r="J14" s="146">
        <v>45.329889999999999</v>
      </c>
      <c r="K14" s="146">
        <v>30.94</v>
      </c>
      <c r="L14" s="146">
        <v>26.12659</v>
      </c>
      <c r="M14" s="146">
        <v>26.93843</v>
      </c>
      <c r="N14" s="146">
        <v>24.46</v>
      </c>
      <c r="O14" s="146">
        <v>24.455749999999998</v>
      </c>
      <c r="P14" s="146">
        <v>26.815750000000001</v>
      </c>
      <c r="Q14" s="146">
        <v>30.061019999999999</v>
      </c>
      <c r="R14" s="146">
        <v>34.130780000000001</v>
      </c>
      <c r="S14" s="146">
        <v>33.115739999999995</v>
      </c>
    </row>
    <row r="15" spans="1:19" s="118" customFormat="1" ht="16.149999999999999" customHeight="1" thickBot="1">
      <c r="A15" s="130" t="s">
        <v>411</v>
      </c>
      <c r="B15" s="129">
        <f t="shared" ref="B15:S15" si="0">SUM(B7:B14)</f>
        <v>1106.3599999999999</v>
      </c>
      <c r="C15" s="129">
        <f t="shared" si="0"/>
        <v>1114.1390699999999</v>
      </c>
      <c r="D15" s="129">
        <f t="shared" si="0"/>
        <v>1091.1600000000001</v>
      </c>
      <c r="E15" s="129">
        <f t="shared" si="0"/>
        <v>1184.3256699999999</v>
      </c>
      <c r="F15" s="129">
        <f t="shared" si="0"/>
        <v>1332.65</v>
      </c>
      <c r="G15" s="129">
        <f t="shared" si="0"/>
        <v>1451.4792199999999</v>
      </c>
      <c r="H15" s="129">
        <f t="shared" si="0"/>
        <v>1564.02953</v>
      </c>
      <c r="I15" s="129">
        <f t="shared" si="0"/>
        <v>1658.49</v>
      </c>
      <c r="J15" s="129">
        <f t="shared" si="0"/>
        <v>1818.79636</v>
      </c>
      <c r="K15" s="129">
        <f t="shared" si="0"/>
        <v>1713.24</v>
      </c>
      <c r="L15" s="129">
        <f t="shared" si="0"/>
        <v>1612.63309</v>
      </c>
      <c r="M15" s="129">
        <f t="shared" si="0"/>
        <v>1542.8472899999999</v>
      </c>
      <c r="N15" s="129">
        <f t="shared" si="0"/>
        <v>1500.7600000000002</v>
      </c>
      <c r="O15" s="129">
        <f t="shared" si="0"/>
        <v>1508.15445</v>
      </c>
      <c r="P15" s="129">
        <f t="shared" si="0"/>
        <v>1604.3117899999997</v>
      </c>
      <c r="Q15" s="129">
        <f t="shared" si="0"/>
        <v>1726.19093</v>
      </c>
      <c r="R15" s="129">
        <f t="shared" si="0"/>
        <v>1780.7444099999998</v>
      </c>
      <c r="S15" s="129">
        <f t="shared" si="0"/>
        <v>1779.7293699999998</v>
      </c>
    </row>
    <row r="16" spans="1:19" s="118" customFormat="1" ht="16.149999999999999" customHeight="1">
      <c r="A16" s="120" t="s">
        <v>410</v>
      </c>
      <c r="B16" s="131">
        <v>1383.75</v>
      </c>
      <c r="C16" s="119">
        <v>1378.20471</v>
      </c>
      <c r="D16" s="119">
        <v>1476.09</v>
      </c>
      <c r="E16" s="119">
        <v>1601.203</v>
      </c>
      <c r="F16" s="119">
        <v>1191.54</v>
      </c>
      <c r="G16" s="119">
        <v>1257.67723</v>
      </c>
      <c r="H16" s="119">
        <v>1221.5744099999999</v>
      </c>
      <c r="I16" s="119">
        <v>1307.8900000000001</v>
      </c>
      <c r="J16" s="119">
        <v>1367.4361000000001</v>
      </c>
      <c r="K16" s="119">
        <v>1234.3499999999999</v>
      </c>
      <c r="L16" s="119">
        <v>1225.4929500000001</v>
      </c>
      <c r="M16" s="119">
        <v>1160.3093799999999</v>
      </c>
      <c r="N16" s="119">
        <v>1088.03</v>
      </c>
      <c r="O16" s="119">
        <v>1133.9831200000001</v>
      </c>
      <c r="P16" s="119">
        <v>1167.94884</v>
      </c>
      <c r="Q16" s="119">
        <v>1244.1768</v>
      </c>
      <c r="R16" s="119">
        <v>1187.44083</v>
      </c>
      <c r="S16" s="119">
        <v>1187.44083</v>
      </c>
    </row>
    <row r="17" spans="1:19" s="118" customFormat="1" ht="16.149999999999999" customHeight="1">
      <c r="A17" s="120" t="s">
        <v>409</v>
      </c>
      <c r="B17" s="131">
        <v>249.21</v>
      </c>
      <c r="C17" s="119">
        <v>308.25205999999997</v>
      </c>
      <c r="D17" s="119">
        <v>339.55</v>
      </c>
      <c r="E17" s="119">
        <v>326.94360999999998</v>
      </c>
      <c r="F17" s="119">
        <v>418.53</v>
      </c>
      <c r="G17" s="119">
        <v>465.91239999999999</v>
      </c>
      <c r="H17" s="119">
        <v>473.55891000000003</v>
      </c>
      <c r="I17" s="119">
        <v>515.57000000000005</v>
      </c>
      <c r="J17" s="119">
        <v>518.01823000000002</v>
      </c>
      <c r="K17" s="119">
        <v>485.62</v>
      </c>
      <c r="L17" s="119">
        <v>418.96006</v>
      </c>
      <c r="M17" s="119">
        <v>387.21159</v>
      </c>
      <c r="N17" s="119">
        <v>373.28</v>
      </c>
      <c r="O17" s="119">
        <v>374.17669999999998</v>
      </c>
      <c r="P17" s="119">
        <v>384.90694000000002</v>
      </c>
      <c r="Q17" s="119">
        <v>400.24362000000002</v>
      </c>
      <c r="R17" s="119">
        <v>413.08514000000002</v>
      </c>
      <c r="S17" s="119">
        <v>413.08514000000002</v>
      </c>
    </row>
    <row r="18" spans="1:19" s="118" customFormat="1" ht="16.149999999999999" customHeight="1">
      <c r="A18" s="120" t="s">
        <v>408</v>
      </c>
      <c r="B18" s="131">
        <v>633.88</v>
      </c>
      <c r="C18" s="119">
        <v>648.51368000000002</v>
      </c>
      <c r="D18" s="119">
        <v>659.67</v>
      </c>
      <c r="E18" s="119">
        <v>649.30556999999999</v>
      </c>
      <c r="F18" s="119">
        <v>655.61</v>
      </c>
      <c r="G18" s="119">
        <v>638.93422999999996</v>
      </c>
      <c r="H18" s="119">
        <v>657.66889000000003</v>
      </c>
      <c r="I18" s="119">
        <v>649.26</v>
      </c>
      <c r="J18" s="119">
        <v>604.25691000000006</v>
      </c>
      <c r="K18" s="119">
        <v>546.55999999999995</v>
      </c>
      <c r="L18" s="119">
        <v>550.95631000000003</v>
      </c>
      <c r="M18" s="119">
        <v>554.41710999999998</v>
      </c>
      <c r="N18" s="119">
        <v>532.63</v>
      </c>
      <c r="O18" s="119">
        <v>513.42304999999999</v>
      </c>
      <c r="P18" s="119">
        <v>524.13018</v>
      </c>
      <c r="Q18" s="119">
        <v>567.72658999999999</v>
      </c>
      <c r="R18" s="119">
        <v>526.21365000000003</v>
      </c>
      <c r="S18" s="119">
        <v>526.21365000000003</v>
      </c>
    </row>
    <row r="19" spans="1:19" s="118" customFormat="1" ht="16.149999999999999" customHeight="1">
      <c r="A19" s="120" t="s">
        <v>407</v>
      </c>
      <c r="B19" s="131">
        <v>1083.07</v>
      </c>
      <c r="C19" s="119">
        <v>800.81828000000007</v>
      </c>
      <c r="D19" s="119">
        <v>627.63</v>
      </c>
      <c r="E19" s="119">
        <v>710.97856999999999</v>
      </c>
      <c r="F19" s="119">
        <v>1292.07</v>
      </c>
      <c r="G19" s="119">
        <v>1374.8929000000001</v>
      </c>
      <c r="H19" s="119">
        <v>815.43861000000004</v>
      </c>
      <c r="I19" s="119">
        <v>525.77</v>
      </c>
      <c r="J19" s="119">
        <v>438.99384000000003</v>
      </c>
      <c r="K19" s="119">
        <v>383.15</v>
      </c>
      <c r="L19" s="119">
        <v>268.94346999999999</v>
      </c>
      <c r="M19" s="119">
        <v>178.65479000000002</v>
      </c>
      <c r="N19" s="119">
        <v>160.55000000000001</v>
      </c>
      <c r="O19" s="119">
        <v>192.53899999999999</v>
      </c>
      <c r="P19" s="119">
        <v>202.05366000000001</v>
      </c>
      <c r="Q19" s="119">
        <v>146.05285000000001</v>
      </c>
      <c r="R19" s="119">
        <v>159.72317000000001</v>
      </c>
      <c r="S19" s="119">
        <v>159.72317000000001</v>
      </c>
    </row>
    <row r="20" spans="1:19" s="118" customFormat="1" ht="16.149999999999999" customHeight="1">
      <c r="A20" s="120" t="s">
        <v>406</v>
      </c>
      <c r="B20" s="131"/>
      <c r="C20" s="119">
        <v>322.26501000000002</v>
      </c>
      <c r="D20" s="119">
        <v>577.69000000000005</v>
      </c>
      <c r="E20" s="119">
        <v>583.92313000000001</v>
      </c>
      <c r="H20" s="145">
        <v>607.10572000000002</v>
      </c>
      <c r="I20" s="145">
        <v>707.59</v>
      </c>
      <c r="J20" s="145">
        <v>333.74459000000002</v>
      </c>
      <c r="K20" s="145">
        <v>204.53</v>
      </c>
      <c r="L20" s="145">
        <v>4.9534599999999998</v>
      </c>
      <c r="M20" s="145">
        <v>6.8425000000000002</v>
      </c>
      <c r="N20" s="145">
        <v>6.84</v>
      </c>
      <c r="O20" s="145">
        <v>6.8425000000000002</v>
      </c>
      <c r="P20" s="145">
        <v>6.8425000000000002</v>
      </c>
      <c r="Q20" s="145">
        <v>1824.4770000000001</v>
      </c>
      <c r="R20" s="145">
        <v>2164.4769999999999</v>
      </c>
      <c r="S20" s="145">
        <v>2164.4769999999999</v>
      </c>
    </row>
    <row r="21" spans="1:19" s="118" customFormat="1" ht="16.149999999999999" customHeight="1">
      <c r="A21" s="120" t="s">
        <v>405</v>
      </c>
      <c r="B21" s="131">
        <v>1634.42</v>
      </c>
      <c r="C21" s="119">
        <v>1563.0745099999999</v>
      </c>
      <c r="D21" s="119">
        <v>1591.54</v>
      </c>
      <c r="E21" s="119">
        <v>1636.5583999999999</v>
      </c>
      <c r="F21" s="119">
        <v>1949.29</v>
      </c>
      <c r="G21" s="119">
        <v>2226.4888700000001</v>
      </c>
      <c r="H21" s="119">
        <v>2446.9036700000001</v>
      </c>
      <c r="I21" s="119">
        <v>2397.48</v>
      </c>
      <c r="J21" s="119">
        <v>2390.4385400000001</v>
      </c>
      <c r="K21" s="119">
        <v>2362.7399999999998</v>
      </c>
      <c r="L21" s="119">
        <v>2289.0592099999999</v>
      </c>
      <c r="M21" s="119">
        <v>2165.01044</v>
      </c>
      <c r="N21" s="119">
        <v>2160.77</v>
      </c>
      <c r="O21" s="119">
        <v>2190.0864900000001</v>
      </c>
      <c r="P21" s="119">
        <v>2197.4229500000001</v>
      </c>
      <c r="Q21" s="119">
        <v>2155.1884599999998</v>
      </c>
      <c r="R21" s="119">
        <v>2629.4130800000003</v>
      </c>
      <c r="S21" s="119">
        <v>2629.4130800000003</v>
      </c>
    </row>
    <row r="22" spans="1:19" s="118" customFormat="1" ht="16.149999999999999" customHeight="1" thickBot="1">
      <c r="A22" s="120" t="s">
        <v>404</v>
      </c>
      <c r="B22" s="131">
        <v>1174.1300000000001</v>
      </c>
      <c r="C22" s="119">
        <v>1194.5311399999998</v>
      </c>
      <c r="D22" s="119">
        <v>1226.5899999999999</v>
      </c>
      <c r="E22" s="119">
        <v>1248.66183</v>
      </c>
      <c r="F22" s="119">
        <v>1616.33</v>
      </c>
      <c r="G22" s="119">
        <v>1732.48</v>
      </c>
      <c r="H22" s="119">
        <v>1927.10421</v>
      </c>
      <c r="I22" s="119">
        <v>1743.33</v>
      </c>
      <c r="J22" s="119">
        <v>1704.1746900000001</v>
      </c>
      <c r="K22" s="119">
        <v>1651.25</v>
      </c>
      <c r="L22" s="119">
        <v>1510.9497200000001</v>
      </c>
      <c r="M22" s="119">
        <v>1333.5660600000001</v>
      </c>
      <c r="N22" s="119">
        <v>1332.36</v>
      </c>
      <c r="O22" s="119">
        <v>1300.6365599999999</v>
      </c>
      <c r="P22" s="119">
        <v>1250.98684</v>
      </c>
      <c r="Q22" s="119">
        <v>1237.7275500000001</v>
      </c>
      <c r="R22" s="119">
        <v>1320.20867</v>
      </c>
      <c r="S22" s="119">
        <v>1320.20867</v>
      </c>
    </row>
    <row r="23" spans="1:19" s="118" customFormat="1" ht="16.149999999999999" customHeight="1" thickBot="1">
      <c r="A23" s="130" t="s">
        <v>403</v>
      </c>
      <c r="B23" s="129">
        <f t="shared" ref="B23:S23" si="1">SUM(B16:B22)</f>
        <v>6158.46</v>
      </c>
      <c r="C23" s="129">
        <f t="shared" si="1"/>
        <v>6215.6593899999998</v>
      </c>
      <c r="D23" s="129">
        <f t="shared" si="1"/>
        <v>6498.76</v>
      </c>
      <c r="E23" s="129">
        <f t="shared" si="1"/>
        <v>6757.5741100000005</v>
      </c>
      <c r="F23" s="129">
        <f t="shared" si="1"/>
        <v>7123.37</v>
      </c>
      <c r="G23" s="129">
        <f t="shared" si="1"/>
        <v>7696.3856300000007</v>
      </c>
      <c r="H23" s="129">
        <f t="shared" si="1"/>
        <v>8149.3544199999997</v>
      </c>
      <c r="I23" s="129">
        <f t="shared" si="1"/>
        <v>7846.89</v>
      </c>
      <c r="J23" s="129">
        <f t="shared" si="1"/>
        <v>7357.0628999999999</v>
      </c>
      <c r="K23" s="129">
        <f t="shared" si="1"/>
        <v>6868.2</v>
      </c>
      <c r="L23" s="129">
        <f t="shared" si="1"/>
        <v>6269.3151800000014</v>
      </c>
      <c r="M23" s="129">
        <f t="shared" si="1"/>
        <v>5786.0118700000003</v>
      </c>
      <c r="N23" s="129">
        <f t="shared" si="1"/>
        <v>5654.46</v>
      </c>
      <c r="O23" s="129">
        <f t="shared" si="1"/>
        <v>5711.6874200000002</v>
      </c>
      <c r="P23" s="129">
        <f t="shared" si="1"/>
        <v>5734.2919099999999</v>
      </c>
      <c r="Q23" s="129">
        <f t="shared" si="1"/>
        <v>7575.5928699999986</v>
      </c>
      <c r="R23" s="129">
        <f t="shared" si="1"/>
        <v>8400.5615400000006</v>
      </c>
      <c r="S23" s="129">
        <f t="shared" si="1"/>
        <v>8400.5615400000006</v>
      </c>
    </row>
    <row r="24" spans="1:19" s="118" customFormat="1" ht="16.149999999999999" customHeight="1">
      <c r="A24" s="120" t="s">
        <v>402</v>
      </c>
      <c r="B24" s="131">
        <v>193.32</v>
      </c>
      <c r="C24" s="119">
        <v>241.17332999999999</v>
      </c>
      <c r="D24" s="119">
        <v>53.29</v>
      </c>
      <c r="E24" s="119">
        <v>100.98432000000001</v>
      </c>
      <c r="F24" s="119">
        <v>95.02</v>
      </c>
      <c r="G24" s="119">
        <v>82.428039999999996</v>
      </c>
      <c r="H24" s="119">
        <v>85.307280000000006</v>
      </c>
      <c r="I24" s="119">
        <v>86.82</v>
      </c>
      <c r="J24" s="119">
        <v>82.968130000000002</v>
      </c>
      <c r="K24" s="119">
        <v>94.44</v>
      </c>
      <c r="L24" s="119">
        <v>88.256679999999989</v>
      </c>
      <c r="M24" s="119">
        <v>67.118899999999996</v>
      </c>
      <c r="N24" s="119">
        <v>67.31</v>
      </c>
      <c r="O24" s="119">
        <v>70.412040000000005</v>
      </c>
      <c r="P24" s="119">
        <v>68.013179999999991</v>
      </c>
      <c r="Q24" s="119">
        <v>62.6798</v>
      </c>
      <c r="R24" s="119">
        <v>66.45129</v>
      </c>
      <c r="S24" s="119">
        <v>66.45129</v>
      </c>
    </row>
    <row r="25" spans="1:19" s="118" customFormat="1" ht="16.149999999999999" customHeight="1">
      <c r="A25" s="120" t="s">
        <v>401</v>
      </c>
      <c r="B25" s="131">
        <v>83.23</v>
      </c>
      <c r="C25" s="119">
        <v>104.45653</v>
      </c>
      <c r="D25" s="119">
        <v>98.98</v>
      </c>
      <c r="E25" s="119">
        <v>115.54248</v>
      </c>
      <c r="F25" s="119">
        <v>129.63999999999999</v>
      </c>
      <c r="G25" s="119">
        <v>134.97188</v>
      </c>
      <c r="H25" s="119">
        <v>139.10327000000001</v>
      </c>
      <c r="I25" s="119">
        <v>138.03</v>
      </c>
      <c r="J25" s="119">
        <v>129.77960000000002</v>
      </c>
      <c r="K25" s="119">
        <v>97.11</v>
      </c>
      <c r="L25" s="119">
        <v>80.80838</v>
      </c>
      <c r="M25" s="119">
        <v>75.051369999999991</v>
      </c>
      <c r="N25" s="119">
        <v>75.64</v>
      </c>
      <c r="O25" s="119">
        <v>79.170900000000003</v>
      </c>
      <c r="P25" s="119">
        <v>94.917760000000001</v>
      </c>
      <c r="Q25" s="119">
        <v>124.34809</v>
      </c>
      <c r="R25" s="119">
        <v>141.34688</v>
      </c>
      <c r="S25" s="119">
        <v>141.33707000000001</v>
      </c>
    </row>
    <row r="26" spans="1:19" s="118" customFormat="1" ht="16.149999999999999" customHeight="1">
      <c r="A26" s="120" t="s">
        <v>400</v>
      </c>
      <c r="B26" s="131">
        <v>552.66</v>
      </c>
      <c r="C26" s="119">
        <v>570.51727000000005</v>
      </c>
      <c r="D26" s="119">
        <v>609.42999999999995</v>
      </c>
      <c r="E26" s="119">
        <v>617.59231000000011</v>
      </c>
      <c r="F26" s="119">
        <v>683.92</v>
      </c>
      <c r="G26" s="119">
        <v>750.13094999999998</v>
      </c>
      <c r="H26" s="119">
        <v>831.25459000000001</v>
      </c>
      <c r="I26" s="119">
        <v>801.52</v>
      </c>
      <c r="J26" s="119">
        <v>804.93484999999998</v>
      </c>
      <c r="K26" s="119">
        <v>732.67</v>
      </c>
      <c r="L26" s="119">
        <v>697.38559999999995</v>
      </c>
      <c r="M26" s="119">
        <v>615.36514</v>
      </c>
      <c r="N26" s="119">
        <v>527.49</v>
      </c>
      <c r="O26" s="119">
        <v>448.82643000000002</v>
      </c>
      <c r="P26" s="119">
        <v>426.64893000000001</v>
      </c>
      <c r="Q26" s="119">
        <v>404.06380999999999</v>
      </c>
      <c r="R26" s="119">
        <v>382.44069999999999</v>
      </c>
      <c r="S26" s="119">
        <v>382.44069999999999</v>
      </c>
    </row>
    <row r="27" spans="1:19" s="118" customFormat="1" ht="16.149999999999999" customHeight="1">
      <c r="A27" s="120" t="s">
        <v>399</v>
      </c>
      <c r="B27" s="131"/>
      <c r="C27" s="119"/>
      <c r="D27" s="119">
        <v>3.27</v>
      </c>
      <c r="E27" s="119">
        <v>3.4654400000000001</v>
      </c>
      <c r="F27" s="119">
        <v>4.5999999999999996</v>
      </c>
      <c r="G27" s="119">
        <v>4.8481800000000002</v>
      </c>
      <c r="H27" s="119">
        <v>4.5227300000000001</v>
      </c>
      <c r="I27" s="119">
        <v>4.34</v>
      </c>
      <c r="J27" s="119">
        <v>3.6784699999999999</v>
      </c>
      <c r="K27" s="119">
        <v>3.44</v>
      </c>
      <c r="L27" s="119">
        <v>3.32253</v>
      </c>
      <c r="M27" s="119">
        <v>3.14154</v>
      </c>
      <c r="N27" s="119">
        <v>3.07</v>
      </c>
      <c r="O27" s="119">
        <v>3.0207099999999998</v>
      </c>
      <c r="P27" s="119">
        <v>6.2009999999999996</v>
      </c>
      <c r="Q27" s="119">
        <v>6.3057100000000004</v>
      </c>
      <c r="R27" s="119">
        <v>6.4045299999999994</v>
      </c>
      <c r="S27" s="119">
        <v>6.4045299999999994</v>
      </c>
    </row>
    <row r="28" spans="1:19" s="118" customFormat="1" ht="16.149999999999999" customHeight="1">
      <c r="A28" s="120" t="s">
        <v>127</v>
      </c>
      <c r="B28" s="131">
        <v>3128.610268532208</v>
      </c>
      <c r="C28" s="119">
        <v>3373.5735299999997</v>
      </c>
      <c r="D28" s="119">
        <v>3873.46</v>
      </c>
      <c r="E28" s="119">
        <v>4167.5136000000002</v>
      </c>
      <c r="F28" s="119">
        <v>4696.3</v>
      </c>
      <c r="G28" s="119">
        <v>5278.68815</v>
      </c>
      <c r="H28" s="119">
        <v>5296.3</v>
      </c>
      <c r="I28" s="119">
        <v>5469.17</v>
      </c>
      <c r="J28" s="119">
        <v>5655.8151500000004</v>
      </c>
      <c r="K28" s="119">
        <v>5387.85</v>
      </c>
      <c r="L28" s="119">
        <v>5468.5480299999999</v>
      </c>
      <c r="M28" s="119">
        <v>5192.4970899999998</v>
      </c>
      <c r="N28" s="119">
        <v>5264.03</v>
      </c>
      <c r="O28" s="119">
        <v>5275.6899899999999</v>
      </c>
      <c r="P28" s="119">
        <v>5299.1464400000004</v>
      </c>
      <c r="Q28" s="119">
        <v>5325.7974700000004</v>
      </c>
      <c r="R28" s="119">
        <v>5789.7573300000004</v>
      </c>
      <c r="S28" s="119">
        <v>5789.7157500000003</v>
      </c>
    </row>
    <row r="29" spans="1:19" s="118" customFormat="1" ht="16.149999999999999" customHeight="1">
      <c r="A29" s="120" t="s">
        <v>398</v>
      </c>
      <c r="B29" s="131">
        <v>530.76</v>
      </c>
      <c r="C29" s="119">
        <v>558.06660999999997</v>
      </c>
      <c r="D29" s="119">
        <v>582.29</v>
      </c>
      <c r="E29" s="119">
        <v>614.25894999999991</v>
      </c>
      <c r="F29" s="119">
        <v>671.29</v>
      </c>
      <c r="G29" s="119">
        <v>769.73211000000003</v>
      </c>
      <c r="H29" s="119">
        <v>881.02576999999997</v>
      </c>
      <c r="I29" s="119">
        <v>865.53</v>
      </c>
      <c r="J29" s="119">
        <v>849.85721000000001</v>
      </c>
      <c r="K29" s="119">
        <v>782.3</v>
      </c>
      <c r="L29" s="119">
        <v>723.79211999999995</v>
      </c>
      <c r="M29" s="119">
        <v>709.64805000000001</v>
      </c>
      <c r="N29" s="119">
        <v>711.35</v>
      </c>
      <c r="O29" s="119">
        <v>734.07695999999999</v>
      </c>
      <c r="P29" s="119">
        <v>754.51780000000008</v>
      </c>
      <c r="Q29" s="119">
        <v>740.03800000000001</v>
      </c>
      <c r="R29" s="119">
        <v>766.45538999999997</v>
      </c>
      <c r="S29" s="119">
        <v>766.45538999999997</v>
      </c>
    </row>
    <row r="30" spans="1:19" s="118" customFormat="1" ht="16.149999999999999" customHeight="1">
      <c r="A30" s="120" t="s">
        <v>397</v>
      </c>
      <c r="B30" s="131">
        <v>40.69</v>
      </c>
      <c r="C30" s="119">
        <v>60.532080000000001</v>
      </c>
      <c r="D30" s="119">
        <v>58.3</v>
      </c>
      <c r="E30" s="119">
        <v>57.830580000000005</v>
      </c>
      <c r="F30" s="119">
        <v>57.94</v>
      </c>
      <c r="G30" s="119">
        <v>63.519190000000002</v>
      </c>
      <c r="H30" s="119">
        <v>70.064499999999995</v>
      </c>
      <c r="I30" s="119">
        <v>71.52</v>
      </c>
      <c r="J30" s="119">
        <v>70.732609999999994</v>
      </c>
      <c r="K30" s="119">
        <v>81.13</v>
      </c>
      <c r="L30" s="119">
        <v>82.203199999999995</v>
      </c>
      <c r="M30" s="119">
        <v>83.097409999999996</v>
      </c>
      <c r="N30" s="119">
        <v>82.21</v>
      </c>
      <c r="O30" s="119">
        <v>79.062110000000004</v>
      </c>
      <c r="P30" s="119">
        <v>76.540580000000006</v>
      </c>
      <c r="Q30" s="119">
        <v>76.304249999999996</v>
      </c>
      <c r="R30" s="119">
        <v>76.349429999999998</v>
      </c>
      <c r="S30" s="119">
        <v>76.349429999999998</v>
      </c>
    </row>
    <row r="31" spans="1:19" s="118" customFormat="1" ht="16.149999999999999" customHeight="1">
      <c r="A31" s="120" t="s">
        <v>396</v>
      </c>
      <c r="B31" s="131">
        <v>631.03</v>
      </c>
      <c r="C31" s="119">
        <v>658.44879000000003</v>
      </c>
      <c r="D31" s="119">
        <v>685.94</v>
      </c>
      <c r="E31" s="119">
        <v>745.38142000000005</v>
      </c>
      <c r="F31" s="119">
        <v>851.3</v>
      </c>
      <c r="G31" s="119">
        <v>989.29046000000005</v>
      </c>
      <c r="H31" s="119">
        <v>1076.6828</v>
      </c>
      <c r="I31" s="119">
        <v>1142.93</v>
      </c>
      <c r="J31" s="119">
        <v>1208.8485600000001</v>
      </c>
      <c r="K31" s="119">
        <v>1162.4100000000001</v>
      </c>
      <c r="L31" s="119">
        <v>1154.4718600000001</v>
      </c>
      <c r="M31" s="119">
        <v>1102.1293799999999</v>
      </c>
      <c r="N31" s="119">
        <v>1122.0999999999999</v>
      </c>
      <c r="O31" s="119">
        <v>1124.6639500000001</v>
      </c>
      <c r="P31" s="119">
        <v>1149.71363</v>
      </c>
      <c r="Q31" s="119">
        <v>1144.9951599999999</v>
      </c>
      <c r="R31" s="119">
        <v>1160.4269399999998</v>
      </c>
      <c r="S31" s="119">
        <v>1160.4269399999998</v>
      </c>
    </row>
    <row r="32" spans="1:19" s="118" customFormat="1" ht="16.149999999999999" customHeight="1">
      <c r="A32" s="120" t="s">
        <v>395</v>
      </c>
      <c r="B32" s="131">
        <v>42.7</v>
      </c>
      <c r="C32" s="119">
        <v>44.197839999999999</v>
      </c>
      <c r="D32" s="119">
        <v>48.04</v>
      </c>
      <c r="E32" s="119">
        <v>44.977110000000003</v>
      </c>
      <c r="F32" s="119">
        <v>48.25</v>
      </c>
      <c r="G32" s="119">
        <v>33.2605</v>
      </c>
      <c r="H32" s="119">
        <v>31.940799999999999</v>
      </c>
      <c r="I32" s="119">
        <v>33.49</v>
      </c>
      <c r="J32" s="119">
        <v>32.674349999999997</v>
      </c>
      <c r="K32" s="119">
        <v>29.55</v>
      </c>
      <c r="L32" s="119">
        <v>27.431229999999999</v>
      </c>
      <c r="M32" s="119">
        <v>27.614349999999998</v>
      </c>
      <c r="N32" s="119">
        <v>0</v>
      </c>
      <c r="O32" s="119"/>
      <c r="P32" s="119"/>
      <c r="Q32" s="119"/>
      <c r="R32" s="119"/>
      <c r="S32" s="119"/>
    </row>
    <row r="33" spans="1:19" s="118" customFormat="1" ht="16.149999999999999" customHeight="1">
      <c r="A33" s="120" t="s">
        <v>394</v>
      </c>
      <c r="B33" s="131">
        <v>16.95</v>
      </c>
      <c r="C33" s="119">
        <v>17.324290000000001</v>
      </c>
      <c r="D33" s="119">
        <v>17.55</v>
      </c>
      <c r="E33" s="119">
        <v>18.28</v>
      </c>
      <c r="F33" s="119">
        <v>19.2</v>
      </c>
      <c r="G33" s="119">
        <v>21.461079999999999</v>
      </c>
      <c r="H33" s="119">
        <v>22.460049999999999</v>
      </c>
      <c r="I33" s="119">
        <v>20.55</v>
      </c>
      <c r="J33" s="119">
        <v>18.09328</v>
      </c>
      <c r="K33" s="119">
        <v>16.61</v>
      </c>
      <c r="L33" s="119">
        <v>14.759409999999999</v>
      </c>
      <c r="M33" s="119">
        <v>14.297420000000001</v>
      </c>
      <c r="N33" s="119">
        <v>14.3</v>
      </c>
      <c r="O33" s="119">
        <v>14.11548</v>
      </c>
      <c r="P33" s="119">
        <v>14.085150000000001</v>
      </c>
      <c r="Q33" s="119">
        <v>13.965070000000001</v>
      </c>
      <c r="R33" s="119">
        <v>14.54548</v>
      </c>
      <c r="S33" s="119">
        <v>14.54548</v>
      </c>
    </row>
    <row r="34" spans="1:19" s="118" customFormat="1" ht="16.149999999999999" customHeight="1" thickBot="1">
      <c r="A34" s="120" t="s">
        <v>393</v>
      </c>
      <c r="B34" s="131">
        <v>4.3099999999999996</v>
      </c>
      <c r="C34" s="119">
        <v>4.7771800000000004</v>
      </c>
      <c r="D34" s="119">
        <v>5.39</v>
      </c>
      <c r="E34" s="119">
        <v>7.0041799999999999</v>
      </c>
      <c r="F34" s="119">
        <v>9.4499999999999993</v>
      </c>
      <c r="G34" s="119">
        <v>10.086349999999999</v>
      </c>
      <c r="H34" s="119">
        <v>11.508599999999999</v>
      </c>
      <c r="I34" s="119">
        <v>15.32</v>
      </c>
      <c r="J34" s="119">
        <v>15.42516</v>
      </c>
      <c r="K34" s="119">
        <v>14.44</v>
      </c>
      <c r="L34" s="119">
        <v>13.929549999999999</v>
      </c>
      <c r="M34" s="119">
        <v>13.52407</v>
      </c>
      <c r="N34" s="119">
        <v>13.47</v>
      </c>
      <c r="O34" s="119">
        <v>14.090769999999999</v>
      </c>
      <c r="P34" s="119">
        <v>13.833129999999999</v>
      </c>
      <c r="Q34" s="119">
        <v>13.833130000000001</v>
      </c>
      <c r="R34" s="119">
        <v>13.960739999999999</v>
      </c>
      <c r="S34" s="119">
        <v>13.960739999999999</v>
      </c>
    </row>
    <row r="35" spans="1:19" s="118" customFormat="1" ht="16.149999999999999" customHeight="1" thickBot="1">
      <c r="A35" s="130" t="s">
        <v>392</v>
      </c>
      <c r="B35" s="129">
        <f t="shared" ref="B35:S35" si="2">SUM(B24:B34)</f>
        <v>5224.2602685322072</v>
      </c>
      <c r="C35" s="129">
        <f t="shared" si="2"/>
        <v>5633.0674499999996</v>
      </c>
      <c r="D35" s="129">
        <f t="shared" si="2"/>
        <v>6035.9400000000014</v>
      </c>
      <c r="E35" s="129">
        <f t="shared" si="2"/>
        <v>6492.8303899999983</v>
      </c>
      <c r="F35" s="129">
        <f t="shared" si="2"/>
        <v>7266.91</v>
      </c>
      <c r="G35" s="129">
        <f t="shared" si="2"/>
        <v>8138.4168899999995</v>
      </c>
      <c r="H35" s="129">
        <f t="shared" si="2"/>
        <v>8450.1703899999993</v>
      </c>
      <c r="I35" s="129">
        <f t="shared" si="2"/>
        <v>8649.2199999999993</v>
      </c>
      <c r="J35" s="129">
        <f t="shared" si="2"/>
        <v>8872.8073699999986</v>
      </c>
      <c r="K35" s="129">
        <f t="shared" si="2"/>
        <v>8401.9500000000007</v>
      </c>
      <c r="L35" s="129">
        <f t="shared" si="2"/>
        <v>8354.9085900000009</v>
      </c>
      <c r="M35" s="129">
        <f t="shared" si="2"/>
        <v>7903.4847200000004</v>
      </c>
      <c r="N35" s="129">
        <f t="shared" si="2"/>
        <v>7880.9700000000012</v>
      </c>
      <c r="O35" s="129">
        <f t="shared" si="2"/>
        <v>7843.1293400000004</v>
      </c>
      <c r="P35" s="129">
        <f t="shared" si="2"/>
        <v>7903.6176000000005</v>
      </c>
      <c r="Q35" s="129">
        <f t="shared" si="2"/>
        <v>7912.3304899999994</v>
      </c>
      <c r="R35" s="129">
        <f t="shared" si="2"/>
        <v>8418.1387100000011</v>
      </c>
      <c r="S35" s="129">
        <f t="shared" si="2"/>
        <v>8418.0873200000024</v>
      </c>
    </row>
    <row r="36" spans="1:19" s="118" customFormat="1" ht="16.149999999999999" customHeight="1">
      <c r="A36" s="120" t="s">
        <v>391</v>
      </c>
      <c r="B36" s="131">
        <v>51.26</v>
      </c>
      <c r="C36" s="119">
        <v>60.580980000000004</v>
      </c>
      <c r="D36" s="119">
        <v>61.69</v>
      </c>
      <c r="E36" s="119">
        <v>71.129259999999988</v>
      </c>
      <c r="F36" s="119">
        <v>74.97</v>
      </c>
      <c r="G36" s="119">
        <v>79.368889999999993</v>
      </c>
      <c r="H36" s="119">
        <v>82.635580000000004</v>
      </c>
      <c r="I36" s="119">
        <v>85.37</v>
      </c>
      <c r="J36" s="119">
        <v>88.790770000000009</v>
      </c>
      <c r="K36" s="119">
        <v>89.67</v>
      </c>
      <c r="L36" s="119">
        <v>79.89797999999999</v>
      </c>
      <c r="M36" s="119">
        <v>77.449160000000006</v>
      </c>
      <c r="N36" s="119">
        <v>76</v>
      </c>
      <c r="O36" s="119">
        <v>67.708489999999998</v>
      </c>
      <c r="P36" s="119">
        <v>64.429419999999993</v>
      </c>
      <c r="Q36" s="119">
        <v>63.488909999999997</v>
      </c>
      <c r="R36" s="119">
        <v>64.411379999999994</v>
      </c>
      <c r="S36" s="119">
        <v>64.411379999999994</v>
      </c>
    </row>
    <row r="37" spans="1:19" s="118" customFormat="1" ht="16.149999999999999" customHeight="1">
      <c r="A37" s="120" t="s">
        <v>390</v>
      </c>
      <c r="B37" s="131">
        <v>463.29</v>
      </c>
      <c r="C37" s="119">
        <v>539.23774000000003</v>
      </c>
      <c r="D37" s="119">
        <v>560.73</v>
      </c>
      <c r="E37" s="119">
        <v>532.04515000000004</v>
      </c>
      <c r="F37" s="119">
        <v>547.27</v>
      </c>
      <c r="G37" s="119">
        <v>556.13109999999995</v>
      </c>
      <c r="H37" s="119">
        <v>589.86369999999999</v>
      </c>
      <c r="I37" s="119">
        <v>599.96100000000001</v>
      </c>
      <c r="J37" s="119">
        <v>581.33843000000002</v>
      </c>
      <c r="K37" s="119">
        <v>504.34</v>
      </c>
      <c r="L37" s="119">
        <v>761.31479000000002</v>
      </c>
      <c r="M37" s="119">
        <v>764.17108999999994</v>
      </c>
      <c r="N37" s="119">
        <v>669.85</v>
      </c>
      <c r="O37" s="119">
        <v>676.50564999999995</v>
      </c>
      <c r="P37" s="119">
        <v>736.53893999999991</v>
      </c>
      <c r="Q37" s="119">
        <v>780.43382999999994</v>
      </c>
      <c r="R37" s="119">
        <v>790.91678999999999</v>
      </c>
      <c r="S37" s="119">
        <v>790.91678999999999</v>
      </c>
    </row>
    <row r="38" spans="1:19" s="118" customFormat="1" ht="16.149999999999999" customHeight="1">
      <c r="A38" s="120" t="s">
        <v>389</v>
      </c>
      <c r="B38" s="131">
        <v>20.5</v>
      </c>
      <c r="C38" s="119">
        <v>18.13212</v>
      </c>
      <c r="D38" s="119">
        <v>18.14</v>
      </c>
      <c r="E38" s="119">
        <v>20.308910000000001</v>
      </c>
      <c r="F38" s="119">
        <v>22.03</v>
      </c>
      <c r="G38" s="119">
        <v>22.845130000000001</v>
      </c>
      <c r="H38" s="119">
        <v>23.542300000000001</v>
      </c>
      <c r="I38" s="119">
        <v>26.85</v>
      </c>
      <c r="J38" s="119">
        <v>32.098109999999998</v>
      </c>
      <c r="K38" s="119">
        <v>24.03</v>
      </c>
      <c r="L38" s="119">
        <v>22.773540000000001</v>
      </c>
      <c r="M38" s="119">
        <v>21.043520000000001</v>
      </c>
      <c r="N38" s="119">
        <v>21.25</v>
      </c>
      <c r="O38" s="119">
        <v>21.301359999999999</v>
      </c>
      <c r="P38" s="119">
        <v>21.248729999999998</v>
      </c>
      <c r="Q38" s="119">
        <v>20.302769999999999</v>
      </c>
      <c r="R38" s="119">
        <v>21.244019999999999</v>
      </c>
      <c r="S38" s="119">
        <v>21.244019999999999</v>
      </c>
    </row>
    <row r="39" spans="1:19" s="118" customFormat="1" ht="16.149999999999999" customHeight="1">
      <c r="A39" s="120" t="s">
        <v>388</v>
      </c>
      <c r="B39" s="131">
        <v>330.83</v>
      </c>
      <c r="C39" s="119">
        <v>359.84433000000001</v>
      </c>
      <c r="D39" s="119">
        <v>357.01</v>
      </c>
      <c r="E39" s="119">
        <v>433.65580999999997</v>
      </c>
      <c r="F39" s="119">
        <v>681.46</v>
      </c>
      <c r="G39" s="119">
        <v>1490.34193</v>
      </c>
      <c r="H39" s="119">
        <v>2617.6515100000001</v>
      </c>
      <c r="I39" s="119">
        <v>2817.31</v>
      </c>
      <c r="J39" s="119">
        <v>2686.8171400000001</v>
      </c>
      <c r="K39" s="119">
        <v>1978.42</v>
      </c>
      <c r="L39" s="119">
        <v>683.69545999999991</v>
      </c>
      <c r="M39" s="119">
        <v>523.37081999999998</v>
      </c>
      <c r="N39" s="119">
        <v>496.99</v>
      </c>
      <c r="O39" s="119">
        <v>519.34303999999997</v>
      </c>
      <c r="P39" s="119">
        <v>517.71533999999997</v>
      </c>
      <c r="Q39" s="119">
        <v>512.58297000000005</v>
      </c>
      <c r="R39" s="119">
        <v>554.74193000000002</v>
      </c>
      <c r="S39" s="119">
        <v>554.74193000000002</v>
      </c>
    </row>
    <row r="40" spans="1:19" s="118" customFormat="1" ht="16.149999999999999" customHeight="1">
      <c r="A40" s="120" t="s">
        <v>387</v>
      </c>
      <c r="B40" s="131">
        <v>80.209999999999994</v>
      </c>
      <c r="C40" s="119">
        <v>83.642600000000002</v>
      </c>
      <c r="D40" s="119">
        <v>95.37</v>
      </c>
      <c r="E40" s="119">
        <v>98.673580000000001</v>
      </c>
      <c r="F40" s="119">
        <v>111.57</v>
      </c>
      <c r="G40" s="119">
        <v>139.05581000000001</v>
      </c>
      <c r="H40" s="119">
        <v>154.44221999999999</v>
      </c>
      <c r="I40" s="119">
        <v>147.24</v>
      </c>
      <c r="J40" s="119">
        <v>158.91201000000001</v>
      </c>
      <c r="K40" s="119">
        <v>151.27000000000001</v>
      </c>
      <c r="L40" s="119">
        <v>132.93424999999999</v>
      </c>
      <c r="M40" s="119">
        <v>109.23379</v>
      </c>
      <c r="N40" s="119">
        <v>131.08000000000001</v>
      </c>
      <c r="O40" s="119">
        <v>134.99722</v>
      </c>
      <c r="P40" s="119">
        <v>128.00809000000001</v>
      </c>
      <c r="Q40" s="119">
        <v>132.94450000000001</v>
      </c>
      <c r="R40" s="119">
        <v>136.81225000000001</v>
      </c>
      <c r="S40" s="119">
        <v>136.81225000000001</v>
      </c>
    </row>
    <row r="41" spans="1:19" s="118" customFormat="1" ht="16.149999999999999" customHeight="1" thickBot="1">
      <c r="A41" s="120" t="s">
        <v>386</v>
      </c>
      <c r="B41" s="131">
        <v>80.209999999999994</v>
      </c>
      <c r="C41" s="119">
        <v>83.642600000000002</v>
      </c>
      <c r="D41" s="119">
        <v>95.37</v>
      </c>
      <c r="E41" s="119">
        <v>98.673580000000001</v>
      </c>
      <c r="F41" s="119"/>
      <c r="G41" s="119"/>
      <c r="H41" s="119"/>
      <c r="I41" s="119"/>
      <c r="J41" s="119"/>
      <c r="K41" s="119"/>
      <c r="L41" s="119"/>
      <c r="M41" s="119"/>
      <c r="N41" s="119"/>
      <c r="O41" s="119">
        <v>2.57037</v>
      </c>
      <c r="P41" s="119">
        <v>9.9993300000000005</v>
      </c>
      <c r="Q41" s="119">
        <v>11.94552</v>
      </c>
      <c r="R41" s="119">
        <v>13.317129999999999</v>
      </c>
      <c r="S41" s="119">
        <v>13.317129999999999</v>
      </c>
    </row>
    <row r="42" spans="1:19" s="118" customFormat="1" ht="16.149999999999999" customHeight="1" thickBot="1">
      <c r="A42" s="130" t="s">
        <v>385</v>
      </c>
      <c r="B42" s="129">
        <f t="shared" ref="B42:S42" si="3">SUM(B36:B41)</f>
        <v>1026.3000000000002</v>
      </c>
      <c r="C42" s="129">
        <f t="shared" si="3"/>
        <v>1145.0803699999999</v>
      </c>
      <c r="D42" s="129">
        <f t="shared" si="3"/>
        <v>1188.31</v>
      </c>
      <c r="E42" s="129">
        <f t="shared" si="3"/>
        <v>1254.4862899999998</v>
      </c>
      <c r="F42" s="129">
        <f t="shared" si="3"/>
        <v>1437.3</v>
      </c>
      <c r="G42" s="129">
        <f t="shared" si="3"/>
        <v>2287.7428599999998</v>
      </c>
      <c r="H42" s="129">
        <f t="shared" si="3"/>
        <v>3468.1353100000001</v>
      </c>
      <c r="I42" s="129">
        <f t="shared" si="3"/>
        <v>3676.7309999999998</v>
      </c>
      <c r="J42" s="129">
        <f t="shared" si="3"/>
        <v>3547.9564600000003</v>
      </c>
      <c r="K42" s="129">
        <f t="shared" si="3"/>
        <v>2747.73</v>
      </c>
      <c r="L42" s="129">
        <f t="shared" si="3"/>
        <v>1680.6160199999999</v>
      </c>
      <c r="M42" s="129">
        <f t="shared" si="3"/>
        <v>1495.2683799999998</v>
      </c>
      <c r="N42" s="129">
        <f t="shared" si="3"/>
        <v>1395.17</v>
      </c>
      <c r="O42" s="129">
        <f t="shared" si="3"/>
        <v>1422.4261299999998</v>
      </c>
      <c r="P42" s="129">
        <f t="shared" si="3"/>
        <v>1477.93985</v>
      </c>
      <c r="Q42" s="129">
        <f t="shared" si="3"/>
        <v>1521.6985000000002</v>
      </c>
      <c r="R42" s="129">
        <f t="shared" si="3"/>
        <v>1581.4434999999999</v>
      </c>
      <c r="S42" s="129">
        <f t="shared" si="3"/>
        <v>1581.4434999999999</v>
      </c>
    </row>
    <row r="43" spans="1:19" s="118" customFormat="1" ht="16.149999999999999" customHeight="1">
      <c r="A43" s="120" t="s">
        <v>384</v>
      </c>
      <c r="B43" s="131">
        <v>56357.06</v>
      </c>
      <c r="C43" s="119">
        <v>60157.956009999994</v>
      </c>
      <c r="D43" s="119">
        <v>64437.27</v>
      </c>
      <c r="E43" s="119">
        <v>69047.57763</v>
      </c>
      <c r="F43" s="119">
        <v>73983.929999999993</v>
      </c>
      <c r="G43" s="119">
        <v>80263.146850000005</v>
      </c>
      <c r="H43" s="119">
        <v>86208.57849</v>
      </c>
      <c r="I43" s="119">
        <v>93493.49</v>
      </c>
      <c r="J43" s="119">
        <v>95483.939840000006</v>
      </c>
      <c r="K43" s="119">
        <v>99238.69</v>
      </c>
      <c r="L43" s="119">
        <v>102103.28896999999</v>
      </c>
      <c r="M43" s="119">
        <v>106504.90501999999</v>
      </c>
      <c r="N43" s="119">
        <v>104627.83</v>
      </c>
      <c r="O43" s="119">
        <v>108265.20570000001</v>
      </c>
      <c r="P43" s="119">
        <v>111691.30956000001</v>
      </c>
      <c r="Q43" s="119">
        <v>115757.03238</v>
      </c>
      <c r="R43" s="119">
        <v>119940.02655</v>
      </c>
      <c r="S43" s="119">
        <v>119940.02655</v>
      </c>
    </row>
    <row r="44" spans="1:19" s="118" customFormat="1" ht="16.149999999999999" customHeight="1">
      <c r="A44" s="120" t="s">
        <v>383</v>
      </c>
      <c r="B44" s="131">
        <v>5729.61</v>
      </c>
      <c r="C44" s="119">
        <v>6322.9290000000001</v>
      </c>
      <c r="D44" s="119">
        <v>6776.61</v>
      </c>
      <c r="E44" s="119">
        <v>7255.2964299999994</v>
      </c>
      <c r="F44" s="119">
        <v>7773.06</v>
      </c>
      <c r="G44" s="119">
        <v>8225.55098</v>
      </c>
      <c r="H44" s="119">
        <v>8789.1228599999995</v>
      </c>
      <c r="I44" s="119">
        <v>9592.57</v>
      </c>
      <c r="J44" s="119">
        <v>9804.1954999999998</v>
      </c>
      <c r="K44" s="119">
        <v>10061.61</v>
      </c>
      <c r="L44" s="119">
        <v>10857.64833</v>
      </c>
      <c r="M44" s="119">
        <v>11824.304529999999</v>
      </c>
      <c r="N44" s="119">
        <v>12340.61</v>
      </c>
      <c r="O44" s="119">
        <v>12928.00648</v>
      </c>
      <c r="P44" s="119">
        <v>13419.284710000002</v>
      </c>
      <c r="Q44" s="119">
        <v>13782.850490000001</v>
      </c>
      <c r="R44" s="119">
        <v>14589.889810000001</v>
      </c>
      <c r="S44" s="119">
        <v>14589.889810000001</v>
      </c>
    </row>
    <row r="45" spans="1:19" s="118" customFormat="1" ht="16.149999999999999" customHeight="1">
      <c r="A45" s="120" t="s">
        <v>382</v>
      </c>
      <c r="B45" s="131">
        <v>44.83</v>
      </c>
      <c r="C45" s="119">
        <v>55.584900000000005</v>
      </c>
      <c r="D45" s="119">
        <v>53.6</v>
      </c>
      <c r="E45" s="119">
        <v>63.875999999999998</v>
      </c>
      <c r="F45" s="119">
        <v>60.02</v>
      </c>
      <c r="G45" s="119">
        <v>60.785499999999999</v>
      </c>
      <c r="H45" s="119">
        <v>68.988680000000002</v>
      </c>
      <c r="I45" s="119">
        <v>80.8</v>
      </c>
      <c r="J45" s="119">
        <v>102.23099999999999</v>
      </c>
      <c r="K45" s="119">
        <v>85.42</v>
      </c>
      <c r="L45" s="119">
        <v>107.54705</v>
      </c>
      <c r="M45" s="119">
        <v>41.314010000000003</v>
      </c>
      <c r="N45" s="119">
        <v>42.64</v>
      </c>
      <c r="O45" s="119">
        <v>41.99268</v>
      </c>
      <c r="P45" s="119">
        <v>41.326329999999999</v>
      </c>
      <c r="Q45" s="119">
        <v>40.905360000000002</v>
      </c>
      <c r="R45" s="119">
        <v>42.274370000000005</v>
      </c>
      <c r="S45" s="119">
        <v>42.274370000000005</v>
      </c>
    </row>
    <row r="46" spans="1:19" s="118" customFormat="1" ht="16.149999999999999" customHeight="1">
      <c r="A46" s="120" t="s">
        <v>381</v>
      </c>
      <c r="B46" s="131">
        <v>1866.24</v>
      </c>
      <c r="C46" s="119">
        <v>1902.6126499999998</v>
      </c>
      <c r="D46" s="119">
        <v>1958.27</v>
      </c>
      <c r="E46" s="119">
        <v>1942.2403899999999</v>
      </c>
      <c r="F46" s="119">
        <v>1983.02</v>
      </c>
      <c r="G46" s="119">
        <v>2033.3959</v>
      </c>
      <c r="H46" s="119">
        <v>2049.4154699999999</v>
      </c>
      <c r="I46" s="119">
        <v>2043.42</v>
      </c>
      <c r="J46" s="119">
        <v>2039.1176699999999</v>
      </c>
      <c r="K46" s="119">
        <v>2033.24</v>
      </c>
      <c r="L46" s="119">
        <v>2022.1258500000001</v>
      </c>
      <c r="M46" s="119">
        <v>2497.8102699999999</v>
      </c>
      <c r="N46" s="119">
        <v>2182.89</v>
      </c>
      <c r="O46" s="119">
        <v>2253.8404999999998</v>
      </c>
      <c r="P46" s="119">
        <v>2301.3911400000002</v>
      </c>
      <c r="Q46" s="119">
        <v>2329.6880000000001</v>
      </c>
      <c r="R46" s="119">
        <v>2388.5655200000001</v>
      </c>
      <c r="S46" s="119">
        <v>2388.5655200000001</v>
      </c>
    </row>
    <row r="47" spans="1:19" s="118" customFormat="1" ht="16.149999999999999" customHeight="1">
      <c r="A47" s="120" t="s">
        <v>380</v>
      </c>
      <c r="B47" s="131">
        <v>638.52</v>
      </c>
      <c r="C47" s="119">
        <v>606.70007999999996</v>
      </c>
      <c r="D47" s="119">
        <v>562.84</v>
      </c>
      <c r="E47" s="119">
        <v>529.32299999999998</v>
      </c>
      <c r="F47" s="119">
        <v>481.87</v>
      </c>
      <c r="G47" s="119">
        <v>440.68651999999997</v>
      </c>
      <c r="H47" s="119">
        <v>427.86500000000001</v>
      </c>
      <c r="I47" s="119">
        <v>409.04</v>
      </c>
      <c r="J47" s="119">
        <v>371.78699999999998</v>
      </c>
      <c r="K47" s="119">
        <v>342.3</v>
      </c>
      <c r="L47" s="119">
        <v>314.80462</v>
      </c>
      <c r="M47" s="119">
        <v>284.38146</v>
      </c>
      <c r="N47" s="119">
        <v>259.74</v>
      </c>
      <c r="O47" s="119">
        <v>214.88669999999999</v>
      </c>
      <c r="P47" s="119">
        <v>190.57160999999999</v>
      </c>
      <c r="Q47" s="119">
        <v>170.22617</v>
      </c>
      <c r="R47" s="119">
        <v>158.81783999999999</v>
      </c>
      <c r="S47" s="119">
        <v>158.81783999999999</v>
      </c>
    </row>
    <row r="48" spans="1:19" s="118" customFormat="1" ht="16.149999999999999" customHeight="1">
      <c r="A48" s="120" t="s">
        <v>379</v>
      </c>
      <c r="B48" s="131"/>
      <c r="C48" s="119"/>
      <c r="D48" s="119"/>
      <c r="E48" s="119"/>
      <c r="F48" s="119"/>
      <c r="G48" s="119"/>
      <c r="H48" s="119"/>
      <c r="I48" s="119"/>
      <c r="J48" s="119"/>
      <c r="K48" s="119"/>
      <c r="L48" s="119"/>
      <c r="M48" s="119"/>
      <c r="N48" s="119">
        <v>7633.02</v>
      </c>
      <c r="O48" s="119">
        <v>7563.02</v>
      </c>
      <c r="P48" s="119">
        <v>7409.9362000000001</v>
      </c>
      <c r="Q48" s="119">
        <v>7179.5949099999998</v>
      </c>
      <c r="R48" s="119">
        <v>7329.1162000000004</v>
      </c>
      <c r="S48" s="119">
        <v>7329.1162000000004</v>
      </c>
    </row>
    <row r="49" spans="1:19" s="118" customFormat="1" ht="16.149999999999999" customHeight="1">
      <c r="A49" s="120" t="s">
        <v>378</v>
      </c>
      <c r="B49" s="131">
        <v>314.45999999999998</v>
      </c>
      <c r="C49" s="119">
        <v>338.32294999999999</v>
      </c>
      <c r="D49" s="119">
        <v>359.19</v>
      </c>
      <c r="E49" s="119">
        <v>375.06209000000001</v>
      </c>
      <c r="F49" s="119">
        <v>391.59</v>
      </c>
      <c r="G49" s="119">
        <v>426.26871999999997</v>
      </c>
      <c r="H49" s="119">
        <v>459.29696999999999</v>
      </c>
      <c r="I49" s="119">
        <v>470.95</v>
      </c>
      <c r="J49" s="119">
        <v>472.81270000000001</v>
      </c>
      <c r="K49" s="119">
        <v>446.52</v>
      </c>
      <c r="L49" s="119">
        <v>412.85634999999996</v>
      </c>
      <c r="M49" s="119">
        <v>396.27274999999997</v>
      </c>
      <c r="N49" s="119">
        <v>389.55</v>
      </c>
      <c r="O49" s="119">
        <v>384.92151000000001</v>
      </c>
      <c r="P49" s="119">
        <v>388.86584000000005</v>
      </c>
      <c r="Q49" s="119">
        <v>380.57384999999999</v>
      </c>
      <c r="R49" s="119">
        <v>379.80655000000002</v>
      </c>
      <c r="S49" s="119">
        <v>379.80655000000002</v>
      </c>
    </row>
    <row r="50" spans="1:19" s="118" customFormat="1" ht="16.149999999999999" customHeight="1" thickBot="1">
      <c r="A50" s="120" t="s">
        <v>377</v>
      </c>
      <c r="B50" s="131">
        <v>7.08</v>
      </c>
      <c r="C50" s="119">
        <v>7.5362999999999998</v>
      </c>
      <c r="D50" s="119">
        <v>8</v>
      </c>
      <c r="E50" s="119">
        <v>7.9049300000000002</v>
      </c>
      <c r="F50" s="119">
        <v>8.11</v>
      </c>
      <c r="G50" s="119">
        <v>8.3426899999999993</v>
      </c>
      <c r="H50" s="119">
        <v>8.5092599999999994</v>
      </c>
      <c r="I50" s="119">
        <v>8.31</v>
      </c>
      <c r="J50" s="119">
        <v>8.6279599999999999</v>
      </c>
      <c r="K50" s="119">
        <v>7.97</v>
      </c>
      <c r="L50" s="119">
        <v>7.66242</v>
      </c>
      <c r="M50" s="119">
        <v>7.5230699999999997</v>
      </c>
      <c r="N50" s="119">
        <v>7.56</v>
      </c>
      <c r="O50" s="119">
        <v>6.6577799999999998</v>
      </c>
      <c r="P50" s="119">
        <v>6.2403999999999993</v>
      </c>
      <c r="Q50" s="119">
        <v>5.8519199999999998</v>
      </c>
      <c r="R50" s="119">
        <v>5.8088199999999999</v>
      </c>
      <c r="S50" s="119">
        <v>5.8088199999999999</v>
      </c>
    </row>
    <row r="51" spans="1:19" s="118" customFormat="1" ht="16.149999999999999" customHeight="1" thickBot="1">
      <c r="A51" s="130" t="s">
        <v>376</v>
      </c>
      <c r="B51" s="129">
        <f t="shared" ref="B51:S51" si="4">SUM(B43:B50)</f>
        <v>64957.799999999996</v>
      </c>
      <c r="C51" s="129">
        <f t="shared" si="4"/>
        <v>69391.641889999999</v>
      </c>
      <c r="D51" s="129">
        <f t="shared" si="4"/>
        <v>74155.78</v>
      </c>
      <c r="E51" s="129">
        <f t="shared" si="4"/>
        <v>79221.280470000027</v>
      </c>
      <c r="F51" s="129">
        <f t="shared" si="4"/>
        <v>84681.599999999991</v>
      </c>
      <c r="G51" s="129">
        <f t="shared" si="4"/>
        <v>91458.177160000007</v>
      </c>
      <c r="H51" s="129">
        <f t="shared" si="4"/>
        <v>98011.776730000012</v>
      </c>
      <c r="I51" s="129">
        <f t="shared" si="4"/>
        <v>106098.57999999999</v>
      </c>
      <c r="J51" s="129">
        <f t="shared" si="4"/>
        <v>108282.71167</v>
      </c>
      <c r="K51" s="129">
        <f t="shared" si="4"/>
        <v>112215.75000000001</v>
      </c>
      <c r="L51" s="129">
        <f t="shared" si="4"/>
        <v>115825.93358999997</v>
      </c>
      <c r="M51" s="129">
        <f t="shared" si="4"/>
        <v>121556.51110999999</v>
      </c>
      <c r="N51" s="129">
        <f t="shared" si="4"/>
        <v>127483.84000000001</v>
      </c>
      <c r="O51" s="129">
        <f t="shared" si="4"/>
        <v>131658.53135</v>
      </c>
      <c r="P51" s="129">
        <f t="shared" si="4"/>
        <v>135448.92579000004</v>
      </c>
      <c r="Q51" s="129">
        <f t="shared" si="4"/>
        <v>139646.72307999997</v>
      </c>
      <c r="R51" s="129">
        <f t="shared" si="4"/>
        <v>144834.30566000001</v>
      </c>
      <c r="S51" s="129">
        <f t="shared" si="4"/>
        <v>144834.30566000001</v>
      </c>
    </row>
    <row r="52" spans="1:19" s="118" customFormat="1" ht="16.149999999999999" customHeight="1">
      <c r="A52" s="120" t="s">
        <v>375</v>
      </c>
      <c r="B52" s="131">
        <v>6596.08</v>
      </c>
      <c r="C52" s="119">
        <v>7363.12039</v>
      </c>
      <c r="D52" s="119">
        <v>8288.31</v>
      </c>
      <c r="E52" s="119">
        <v>9040.5905000000002</v>
      </c>
      <c r="F52" s="119">
        <v>10162.92</v>
      </c>
      <c r="G52" s="119">
        <v>11218.65819</v>
      </c>
      <c r="H52" s="119">
        <v>12217.50461</v>
      </c>
      <c r="I52" s="119">
        <v>12927.37</v>
      </c>
      <c r="J52" s="119">
        <v>12478.90173</v>
      </c>
      <c r="K52" s="119">
        <v>11580.71</v>
      </c>
      <c r="L52" s="119">
        <v>10263.08316</v>
      </c>
      <c r="M52" s="119">
        <v>10602.112939999999</v>
      </c>
      <c r="N52" s="119">
        <v>9838.56</v>
      </c>
      <c r="O52" s="119">
        <v>9495.7628499999992</v>
      </c>
      <c r="P52" s="119">
        <v>10208.026380000001</v>
      </c>
      <c r="Q52" s="119">
        <v>12020.627909999999</v>
      </c>
      <c r="R52" s="119">
        <v>13175.8434</v>
      </c>
      <c r="S52" s="119">
        <v>13175.8434</v>
      </c>
    </row>
    <row r="53" spans="1:19" s="118" customFormat="1" ht="16.149999999999999" customHeight="1">
      <c r="A53" s="120" t="s">
        <v>374</v>
      </c>
      <c r="B53" s="131">
        <v>402.72</v>
      </c>
      <c r="C53" s="119">
        <v>429.31337000000002</v>
      </c>
      <c r="D53" s="119">
        <v>441.04</v>
      </c>
      <c r="E53" s="119">
        <v>472.55602000000005</v>
      </c>
      <c r="F53" s="119">
        <v>497.72</v>
      </c>
      <c r="G53" s="119">
        <v>522.54368999999997</v>
      </c>
      <c r="H53" s="119">
        <v>550.50600999999995</v>
      </c>
      <c r="I53" s="119">
        <v>572.33000000000004</v>
      </c>
      <c r="J53" s="119">
        <v>579.20385999999996</v>
      </c>
      <c r="K53" s="119">
        <v>556.05999999999995</v>
      </c>
      <c r="L53" s="119">
        <v>444.08042</v>
      </c>
      <c r="M53" s="119">
        <v>360.44725</v>
      </c>
      <c r="N53" s="119">
        <v>355.01</v>
      </c>
      <c r="O53" s="119">
        <v>352.93484999999998</v>
      </c>
      <c r="P53" s="119">
        <v>363.95491999999996</v>
      </c>
      <c r="Q53" s="119">
        <v>382.79012999999998</v>
      </c>
      <c r="R53" s="119">
        <v>380.03190999999998</v>
      </c>
      <c r="S53" s="119">
        <v>376.74090999999999</v>
      </c>
    </row>
    <row r="54" spans="1:19" s="118" customFormat="1" ht="16.149999999999999" customHeight="1">
      <c r="A54" s="120" t="s">
        <v>373</v>
      </c>
      <c r="B54" s="131">
        <v>1417.93</v>
      </c>
      <c r="C54" s="119">
        <v>754.60136</v>
      </c>
      <c r="D54" s="119">
        <v>1142.77</v>
      </c>
      <c r="E54" s="119">
        <v>1143.07954</v>
      </c>
      <c r="F54" s="119">
        <v>1311.68</v>
      </c>
      <c r="G54" s="119">
        <v>1056.22073</v>
      </c>
      <c r="H54" s="119">
        <v>1317.2817600000001</v>
      </c>
      <c r="I54" s="119">
        <v>1473.63</v>
      </c>
      <c r="J54" s="119">
        <v>1344.41139</v>
      </c>
      <c r="K54" s="119">
        <v>1428.51</v>
      </c>
      <c r="L54" s="119">
        <v>1275.0903000000001</v>
      </c>
      <c r="M54" s="119">
        <v>868.39495999999997</v>
      </c>
      <c r="N54" s="119">
        <v>1375.65</v>
      </c>
      <c r="O54" s="119">
        <v>1064.0519300000001</v>
      </c>
      <c r="P54" s="119">
        <v>1087.1184699999999</v>
      </c>
      <c r="Q54" s="119">
        <v>1072.1184699999999</v>
      </c>
      <c r="R54" s="119">
        <v>796.41104000000007</v>
      </c>
      <c r="S54" s="119">
        <v>796.41104000000007</v>
      </c>
    </row>
    <row r="55" spans="1:19" s="118" customFormat="1" ht="16.149999999999999" customHeight="1" thickBot="1">
      <c r="A55" s="120" t="s">
        <v>372</v>
      </c>
      <c r="B55" s="131"/>
      <c r="C55" s="119"/>
      <c r="D55" s="119"/>
      <c r="E55" s="119"/>
      <c r="F55" s="119"/>
      <c r="G55" s="119"/>
      <c r="H55" s="119"/>
      <c r="I55" s="119"/>
      <c r="J55" s="119"/>
      <c r="K55" s="119">
        <v>11.08</v>
      </c>
      <c r="L55" s="119">
        <v>31.025449999999999</v>
      </c>
      <c r="M55" s="119">
        <v>49.301099999999998</v>
      </c>
      <c r="N55" s="119">
        <v>34.61</v>
      </c>
      <c r="O55" s="119">
        <v>30.903279999999999</v>
      </c>
      <c r="P55" s="119">
        <v>26.609439999999999</v>
      </c>
      <c r="Q55" s="119">
        <v>36.361719999999998</v>
      </c>
      <c r="R55" s="119">
        <v>36.079599999999999</v>
      </c>
      <c r="S55" s="119">
        <v>36.079599999999999</v>
      </c>
    </row>
    <row r="56" spans="1:19" s="118" customFormat="1" ht="16.149999999999999" customHeight="1" thickBot="1">
      <c r="A56" s="130" t="s">
        <v>371</v>
      </c>
      <c r="B56" s="129">
        <f t="shared" ref="B56:I56" si="5">SUM(B52:B54)</f>
        <v>8416.73</v>
      </c>
      <c r="C56" s="129">
        <f t="shared" si="5"/>
        <v>8547.0351200000005</v>
      </c>
      <c r="D56" s="129">
        <f t="shared" si="5"/>
        <v>9872.1200000000008</v>
      </c>
      <c r="E56" s="129">
        <f t="shared" si="5"/>
        <v>10656.226060000001</v>
      </c>
      <c r="F56" s="129">
        <f t="shared" si="5"/>
        <v>11972.32</v>
      </c>
      <c r="G56" s="129">
        <f t="shared" si="5"/>
        <v>12797.422610000001</v>
      </c>
      <c r="H56" s="129">
        <f t="shared" si="5"/>
        <v>14085.292379999999</v>
      </c>
      <c r="I56" s="129">
        <f t="shared" si="5"/>
        <v>14973.330000000002</v>
      </c>
      <c r="J56" s="129">
        <f t="shared" ref="J56:S56" si="6">SUM(J52:J55)</f>
        <v>14402.516979999999</v>
      </c>
      <c r="K56" s="129">
        <f t="shared" si="6"/>
        <v>13576.359999999999</v>
      </c>
      <c r="L56" s="129">
        <f t="shared" si="6"/>
        <v>12013.279329999999</v>
      </c>
      <c r="M56" s="129">
        <f t="shared" si="6"/>
        <v>11880.256249999999</v>
      </c>
      <c r="N56" s="129">
        <f t="shared" si="6"/>
        <v>11603.83</v>
      </c>
      <c r="O56" s="129">
        <f t="shared" si="6"/>
        <v>10943.652909999999</v>
      </c>
      <c r="P56" s="129">
        <f t="shared" si="6"/>
        <v>11685.709210000001</v>
      </c>
      <c r="Q56" s="129">
        <f t="shared" si="6"/>
        <v>13511.898229999999</v>
      </c>
      <c r="R56" s="129">
        <f t="shared" si="6"/>
        <v>14388.365949999999</v>
      </c>
      <c r="S56" s="129">
        <f t="shared" si="6"/>
        <v>14385.07495</v>
      </c>
    </row>
    <row r="57" spans="1:19" s="118" customFormat="1" ht="16.149999999999999" customHeight="1">
      <c r="A57" s="120" t="s">
        <v>370</v>
      </c>
      <c r="B57" s="131">
        <v>31.72</v>
      </c>
      <c r="C57" s="119">
        <v>32.579270000000001</v>
      </c>
      <c r="D57" s="119">
        <v>32.020000000000003</v>
      </c>
      <c r="E57" s="119">
        <v>32.130890000000001</v>
      </c>
      <c r="F57" s="119">
        <v>31.91</v>
      </c>
      <c r="G57" s="119">
        <v>32.198650000000001</v>
      </c>
      <c r="H57" s="119">
        <v>32.258870000000002</v>
      </c>
      <c r="I57" s="119">
        <v>31.82</v>
      </c>
      <c r="J57" s="119">
        <v>29.566330000000001</v>
      </c>
      <c r="K57" s="119">
        <v>25.87</v>
      </c>
      <c r="L57" s="119">
        <v>18.486080000000001</v>
      </c>
      <c r="M57" s="119">
        <v>14.844479999999999</v>
      </c>
      <c r="N57" s="119">
        <v>14.89</v>
      </c>
      <c r="O57" s="119">
        <v>14.681319999999999</v>
      </c>
      <c r="P57" s="119">
        <v>14.692440000000001</v>
      </c>
      <c r="Q57" s="119">
        <v>14.7197</v>
      </c>
      <c r="R57" s="119">
        <v>14.868219999999999</v>
      </c>
      <c r="S57" s="119">
        <v>14.868219999999999</v>
      </c>
    </row>
    <row r="58" spans="1:19" s="118" customFormat="1" ht="16.149999999999999" customHeight="1">
      <c r="A58" s="120" t="s">
        <v>369</v>
      </c>
      <c r="B58" s="131">
        <v>69.430000000000007</v>
      </c>
      <c r="C58" s="119">
        <v>79.22408999999999</v>
      </c>
      <c r="D58" s="119">
        <v>82.91</v>
      </c>
      <c r="E58" s="119">
        <v>267.15359000000001</v>
      </c>
      <c r="F58" s="119">
        <v>365.67</v>
      </c>
      <c r="G58" s="119">
        <v>437.59455000000003</v>
      </c>
      <c r="H58" s="119">
        <v>135.96720999999999</v>
      </c>
      <c r="I58" s="119">
        <v>136.11000000000001</v>
      </c>
      <c r="J58" s="119">
        <v>135.56467000000001</v>
      </c>
      <c r="K58" s="119">
        <v>116.66</v>
      </c>
      <c r="L58" s="119">
        <v>89.701549999999997</v>
      </c>
      <c r="M58" s="119">
        <v>76.702339999999992</v>
      </c>
      <c r="N58" s="119">
        <v>75.180000000000007</v>
      </c>
      <c r="O58" s="119">
        <v>70.471950000000007</v>
      </c>
      <c r="P58" s="119">
        <v>69.45823</v>
      </c>
      <c r="Q58" s="119">
        <v>57.475679999999997</v>
      </c>
      <c r="R58" s="119">
        <v>59.367419999999996</v>
      </c>
      <c r="S58" s="119">
        <v>59.367419999999996</v>
      </c>
    </row>
    <row r="59" spans="1:19" s="118" customFormat="1" ht="16.149999999999999" customHeight="1">
      <c r="A59" s="120" t="s">
        <v>368</v>
      </c>
      <c r="B59" s="131">
        <v>223.64</v>
      </c>
      <c r="C59" s="119">
        <v>196.99447000000001</v>
      </c>
      <c r="D59" s="119">
        <v>190.53</v>
      </c>
      <c r="E59" s="119">
        <v>177.14274</v>
      </c>
      <c r="F59" s="119">
        <v>204.99</v>
      </c>
      <c r="G59" s="119">
        <v>179.21884</v>
      </c>
      <c r="H59" s="119">
        <v>184.87278000000001</v>
      </c>
      <c r="I59" s="119">
        <v>162.28</v>
      </c>
      <c r="J59" s="119">
        <v>100.50707000000001</v>
      </c>
      <c r="K59" s="119">
        <v>91.84</v>
      </c>
      <c r="L59" s="119">
        <v>74.54898</v>
      </c>
      <c r="M59" s="119">
        <v>68.779820000000001</v>
      </c>
      <c r="N59" s="119">
        <v>62.64</v>
      </c>
      <c r="O59" s="119">
        <v>58.773110000000003</v>
      </c>
      <c r="P59" s="119">
        <v>55.675530000000002</v>
      </c>
      <c r="Q59" s="119">
        <v>53.27852</v>
      </c>
      <c r="R59" s="119">
        <v>52.70487</v>
      </c>
      <c r="S59" s="119">
        <v>52.70487</v>
      </c>
    </row>
    <row r="60" spans="1:19" s="118" customFormat="1" ht="16.149999999999999" customHeight="1">
      <c r="A60" s="120" t="s">
        <v>367</v>
      </c>
      <c r="B60" s="131">
        <v>102.62</v>
      </c>
      <c r="C60" s="119">
        <v>103.05808999999999</v>
      </c>
      <c r="D60" s="119">
        <v>120.13</v>
      </c>
      <c r="E60" s="119">
        <v>138.76</v>
      </c>
      <c r="F60" s="119">
        <v>233.09</v>
      </c>
      <c r="G60" s="119">
        <v>196.92285999999999</v>
      </c>
      <c r="H60" s="119">
        <v>233.99897000000001</v>
      </c>
      <c r="I60" s="119">
        <v>198.5</v>
      </c>
      <c r="J60" s="119">
        <v>220.02557000000002</v>
      </c>
      <c r="K60" s="119">
        <v>202.4</v>
      </c>
      <c r="L60" s="119">
        <v>124.34075</v>
      </c>
      <c r="M60" s="119">
        <v>114.77521</v>
      </c>
      <c r="N60" s="119">
        <v>117.22</v>
      </c>
      <c r="O60" s="119">
        <v>117.62832</v>
      </c>
      <c r="P60" s="119">
        <v>117.48944</v>
      </c>
      <c r="Q60" s="119">
        <v>117.51258</v>
      </c>
      <c r="R60" s="119">
        <v>117.34060000000001</v>
      </c>
      <c r="S60" s="119">
        <v>117.34060000000001</v>
      </c>
    </row>
    <row r="61" spans="1:19" s="118" customFormat="1" ht="16.149999999999999" customHeight="1">
      <c r="A61" s="120" t="s">
        <v>366</v>
      </c>
      <c r="B61" s="131">
        <v>263.16000000000003</v>
      </c>
      <c r="C61" s="119">
        <v>286.43527</v>
      </c>
      <c r="D61" s="119">
        <v>267.86</v>
      </c>
      <c r="E61" s="119">
        <v>238.62173999999999</v>
      </c>
      <c r="F61" s="119">
        <v>232.82</v>
      </c>
      <c r="G61" s="119">
        <v>382.38359000000003</v>
      </c>
      <c r="H61" s="119">
        <v>750.76567</v>
      </c>
      <c r="I61" s="119">
        <v>1044.82</v>
      </c>
      <c r="J61" s="119">
        <v>56.580019999999998</v>
      </c>
      <c r="K61" s="119">
        <v>48.66</v>
      </c>
      <c r="L61" s="119">
        <v>41.940469999999998</v>
      </c>
      <c r="M61" s="119">
        <v>40.556220000000003</v>
      </c>
      <c r="N61" s="119">
        <v>41</v>
      </c>
      <c r="O61" s="119">
        <v>40.642829999999996</v>
      </c>
      <c r="P61" s="119">
        <v>47.651290000000003</v>
      </c>
      <c r="Q61" s="119">
        <v>46.923430000000003</v>
      </c>
      <c r="R61" s="119">
        <v>47.605160000000005</v>
      </c>
      <c r="S61" s="119">
        <v>47.605160000000005</v>
      </c>
    </row>
    <row r="62" spans="1:19" s="118" customFormat="1" ht="16.149999999999999" customHeight="1">
      <c r="A62" s="120" t="s">
        <v>365</v>
      </c>
      <c r="B62" s="131">
        <v>225.12</v>
      </c>
      <c r="C62" s="119">
        <v>284.03853999999995</v>
      </c>
      <c r="D62" s="119">
        <v>284.27999999999997</v>
      </c>
      <c r="E62" s="119">
        <v>347.89</v>
      </c>
      <c r="F62" s="119">
        <v>400.49599999999998</v>
      </c>
      <c r="G62" s="119">
        <v>407.13028000000003</v>
      </c>
      <c r="H62" s="119">
        <v>423.82589999999999</v>
      </c>
      <c r="I62" s="119">
        <v>429.08</v>
      </c>
      <c r="J62" s="119">
        <v>250.40311</v>
      </c>
      <c r="K62" s="119">
        <v>240.15</v>
      </c>
      <c r="L62" s="119">
        <v>181.86798000000002</v>
      </c>
      <c r="M62" s="119">
        <v>155.63615999999999</v>
      </c>
      <c r="N62" s="119">
        <v>157.26</v>
      </c>
      <c r="O62" s="119">
        <v>290.54228000000001</v>
      </c>
      <c r="P62" s="119">
        <v>312.6617</v>
      </c>
      <c r="Q62" s="119">
        <v>328.96114</v>
      </c>
      <c r="R62" s="119">
        <v>349.41196000000002</v>
      </c>
      <c r="S62" s="119">
        <v>348.74115999999998</v>
      </c>
    </row>
    <row r="63" spans="1:19" s="118" customFormat="1" ht="16.149999999999999" customHeight="1">
      <c r="A63" s="120" t="s">
        <v>364</v>
      </c>
      <c r="B63" s="131">
        <v>39.82</v>
      </c>
      <c r="C63" s="119">
        <v>49.036960000000001</v>
      </c>
      <c r="D63" s="119">
        <v>49.04</v>
      </c>
      <c r="E63" s="119">
        <v>53.033389999999997</v>
      </c>
      <c r="F63" s="119">
        <v>53.15</v>
      </c>
      <c r="G63" s="119">
        <v>52.916699999999999</v>
      </c>
      <c r="H63" s="119">
        <v>63.080950000000001</v>
      </c>
      <c r="I63" s="119">
        <v>14.14</v>
      </c>
      <c r="J63" s="119">
        <v>10.85126</v>
      </c>
      <c r="K63" s="119">
        <v>9.32</v>
      </c>
      <c r="L63" s="119">
        <v>5.3553199999999999</v>
      </c>
      <c r="M63" s="119">
        <v>4.4276299999999997</v>
      </c>
      <c r="N63" s="119">
        <v>5.87</v>
      </c>
      <c r="O63" s="119">
        <v>7.6883800000000004</v>
      </c>
      <c r="P63" s="119">
        <v>11.97049</v>
      </c>
      <c r="Q63" s="119">
        <v>12.12914</v>
      </c>
      <c r="R63" s="119">
        <v>10.23878</v>
      </c>
      <c r="S63" s="119">
        <v>10.23878</v>
      </c>
    </row>
    <row r="64" spans="1:19" s="118" customFormat="1" ht="16.149999999999999" customHeight="1">
      <c r="A64" s="120" t="s">
        <v>363</v>
      </c>
      <c r="B64" s="131"/>
      <c r="C64" s="119"/>
      <c r="D64" s="119"/>
      <c r="E64" s="119"/>
      <c r="F64" s="119"/>
      <c r="G64" s="119"/>
      <c r="H64" s="119">
        <f>111.94094+200</f>
        <v>311.94094000000001</v>
      </c>
      <c r="I64" s="119">
        <v>314.35000000000002</v>
      </c>
      <c r="J64" s="119">
        <v>184.91945999999999</v>
      </c>
      <c r="K64" s="119">
        <v>147.97</v>
      </c>
      <c r="L64" s="119">
        <v>66.849630000000005</v>
      </c>
      <c r="M64" s="119">
        <v>62.412849999999999</v>
      </c>
      <c r="N64" s="119">
        <v>61.67</v>
      </c>
      <c r="O64" s="119">
        <v>66.383610000000004</v>
      </c>
      <c r="P64" s="119">
        <v>312.69632999999999</v>
      </c>
      <c r="Q64" s="119">
        <v>312.80275999999998</v>
      </c>
      <c r="R64" s="119">
        <v>318.09534000000002</v>
      </c>
      <c r="S64" s="119">
        <v>318.09534000000002</v>
      </c>
    </row>
    <row r="65" spans="1:19" s="118" customFormat="1" ht="16.149999999999999" customHeight="1">
      <c r="A65" s="120" t="s">
        <v>362</v>
      </c>
      <c r="B65" s="131"/>
      <c r="C65" s="119"/>
      <c r="D65" s="119"/>
      <c r="E65" s="119"/>
      <c r="F65" s="119"/>
      <c r="G65" s="119"/>
      <c r="H65" s="119"/>
      <c r="I65" s="119"/>
      <c r="J65" s="119">
        <v>1581.5697700000001</v>
      </c>
      <c r="K65" s="119">
        <v>1498.44</v>
      </c>
      <c r="L65" s="119">
        <v>1407.1506200000001</v>
      </c>
      <c r="M65" s="119">
        <v>2205.7509500000001</v>
      </c>
      <c r="N65" s="119">
        <v>1176.58</v>
      </c>
      <c r="O65" s="119">
        <v>1177.0377800000001</v>
      </c>
      <c r="P65" s="119">
        <v>1252.28919</v>
      </c>
      <c r="Q65" s="119">
        <v>1354.8113800000001</v>
      </c>
      <c r="R65" s="119">
        <v>1401.0913</v>
      </c>
      <c r="S65" s="119">
        <v>1401.0913</v>
      </c>
    </row>
    <row r="66" spans="1:19" s="118" customFormat="1" ht="16.149999999999999" customHeight="1">
      <c r="A66" s="120" t="s">
        <v>361</v>
      </c>
      <c r="B66" s="131">
        <v>15.27</v>
      </c>
      <c r="C66" s="119">
        <v>6.2877200000000002</v>
      </c>
      <c r="D66" s="119">
        <v>6.42</v>
      </c>
      <c r="E66" s="119">
        <v>6.57</v>
      </c>
      <c r="F66" s="119">
        <v>6.7</v>
      </c>
      <c r="G66" s="119">
        <v>5.4690799999999999</v>
      </c>
      <c r="H66" s="119">
        <v>5.5784599999999998</v>
      </c>
      <c r="I66" s="119">
        <v>5.63</v>
      </c>
      <c r="J66" s="119">
        <v>6.17849</v>
      </c>
      <c r="K66" s="119">
        <v>0</v>
      </c>
      <c r="L66" s="119"/>
      <c r="M66" s="119"/>
      <c r="N66" s="119"/>
      <c r="O66" s="119"/>
      <c r="P66" s="119"/>
      <c r="Q66" s="119"/>
      <c r="R66" s="119"/>
      <c r="S66" s="119"/>
    </row>
    <row r="67" spans="1:19" s="118" customFormat="1" ht="16.149999999999999" customHeight="1">
      <c r="A67" s="120" t="s">
        <v>360</v>
      </c>
      <c r="B67" s="131">
        <v>11.9</v>
      </c>
      <c r="C67" s="119">
        <v>15.9078</v>
      </c>
      <c r="D67" s="119">
        <v>7.07</v>
      </c>
      <c r="E67" s="119">
        <v>12.190340000000001</v>
      </c>
      <c r="F67" s="119">
        <v>10.98</v>
      </c>
      <c r="G67" s="119">
        <v>7.6213300000000004</v>
      </c>
      <c r="H67" s="119">
        <v>7.9088200000000004</v>
      </c>
      <c r="I67" s="119">
        <v>8.0500000000000007</v>
      </c>
      <c r="J67" s="119">
        <v>8.0518000000000001</v>
      </c>
      <c r="K67" s="119"/>
      <c r="L67" s="119"/>
      <c r="M67" s="119"/>
      <c r="N67" s="119"/>
      <c r="O67" s="119"/>
      <c r="P67" s="119"/>
      <c r="Q67" s="119"/>
      <c r="R67" s="119"/>
      <c r="S67" s="119"/>
    </row>
    <row r="68" spans="1:19" s="118" customFormat="1" ht="16.149999999999999" customHeight="1">
      <c r="A68" s="120" t="s">
        <v>359</v>
      </c>
      <c r="B68" s="131">
        <v>29.71</v>
      </c>
      <c r="C68" s="119">
        <v>30.716390000000001</v>
      </c>
      <c r="D68" s="119">
        <v>32.380000000000003</v>
      </c>
      <c r="E68" s="119">
        <v>34.265970000000003</v>
      </c>
      <c r="F68" s="119">
        <v>36.6</v>
      </c>
      <c r="G68" s="119">
        <v>37.018859999999997</v>
      </c>
      <c r="H68" s="119">
        <v>38.194369999999999</v>
      </c>
      <c r="I68" s="119">
        <v>34.81</v>
      </c>
      <c r="J68" s="119">
        <v>34.647800000000004</v>
      </c>
      <c r="K68" s="119">
        <v>31.59</v>
      </c>
      <c r="L68" s="119">
        <v>28.601400000000002</v>
      </c>
      <c r="M68" s="119">
        <v>28.54186</v>
      </c>
      <c r="N68" s="119">
        <v>27.95</v>
      </c>
      <c r="O68" s="119">
        <v>27.94875</v>
      </c>
      <c r="P68" s="119">
        <v>28.95316</v>
      </c>
      <c r="Q68" s="119">
        <v>30.93713</v>
      </c>
      <c r="R68" s="119">
        <v>32.961440000000003</v>
      </c>
      <c r="S68" s="119">
        <v>32.961440000000003</v>
      </c>
    </row>
    <row r="69" spans="1:19" s="118" customFormat="1" ht="16.149999999999999" customHeight="1">
      <c r="A69" s="120" t="s">
        <v>358</v>
      </c>
      <c r="B69" s="131">
        <v>22.69</v>
      </c>
      <c r="C69" s="119">
        <v>23.573520000000002</v>
      </c>
      <c r="D69" s="119">
        <v>24.34</v>
      </c>
      <c r="E69" s="119">
        <v>36.295000000000002</v>
      </c>
      <c r="F69" s="119">
        <v>42.68</v>
      </c>
      <c r="G69" s="119">
        <v>42.235419999999998</v>
      </c>
      <c r="H69" s="119">
        <v>43.240960000000001</v>
      </c>
      <c r="I69" s="119">
        <v>37.700000000000003</v>
      </c>
      <c r="J69" s="119">
        <v>33.596620000000001</v>
      </c>
      <c r="K69" s="119">
        <v>31.16</v>
      </c>
      <c r="L69" s="119">
        <v>24.970269999999999</v>
      </c>
      <c r="M69" s="119">
        <v>18.952810000000003</v>
      </c>
      <c r="N69" s="119">
        <v>19.07</v>
      </c>
      <c r="O69" s="119">
        <v>20.829239999999999</v>
      </c>
      <c r="P69" s="119">
        <v>19.74184</v>
      </c>
      <c r="Q69" s="119">
        <v>19.74184</v>
      </c>
      <c r="R69" s="119">
        <v>19.838990000000003</v>
      </c>
      <c r="S69" s="119">
        <v>19.672499999999999</v>
      </c>
    </row>
    <row r="70" spans="1:19" s="118" customFormat="1" ht="16.149999999999999" customHeight="1">
      <c r="A70" s="120" t="s">
        <v>357</v>
      </c>
      <c r="B70" s="131"/>
      <c r="C70" s="119"/>
      <c r="D70" s="119"/>
      <c r="E70" s="119"/>
      <c r="F70" s="119"/>
      <c r="G70" s="119"/>
      <c r="H70" s="119"/>
      <c r="I70" s="119">
        <v>28.32</v>
      </c>
      <c r="J70" s="119">
        <v>31.577439999999999</v>
      </c>
      <c r="K70" s="119">
        <v>30.36</v>
      </c>
      <c r="L70" s="119">
        <v>23.828939999999999</v>
      </c>
      <c r="M70" s="119">
        <v>22.197340000000001</v>
      </c>
      <c r="N70" s="119">
        <v>21.85</v>
      </c>
      <c r="O70" s="119">
        <v>23.728179999999998</v>
      </c>
      <c r="P70" s="119">
        <v>25.228180000000002</v>
      </c>
      <c r="Q70" s="119">
        <v>31.728179999999998</v>
      </c>
      <c r="R70" s="119">
        <v>159.5061</v>
      </c>
      <c r="S70" s="119">
        <v>159.5085</v>
      </c>
    </row>
    <row r="71" spans="1:19" s="118" customFormat="1" ht="16.149999999999999" customHeight="1">
      <c r="A71" s="120" t="s">
        <v>356</v>
      </c>
      <c r="B71" s="131"/>
      <c r="C71" s="119"/>
      <c r="D71" s="119"/>
      <c r="E71" s="119"/>
      <c r="F71" s="119"/>
      <c r="G71" s="119"/>
      <c r="H71" s="119"/>
      <c r="I71" s="119"/>
      <c r="J71" s="119"/>
      <c r="K71" s="119"/>
      <c r="L71" s="119"/>
      <c r="M71" s="119"/>
      <c r="N71" s="119"/>
      <c r="O71" s="119"/>
      <c r="P71" s="119"/>
      <c r="Q71" s="119"/>
      <c r="R71" s="119"/>
      <c r="S71" s="131">
        <v>1.3481700000000001</v>
      </c>
    </row>
    <row r="72" spans="1:19" s="118" customFormat="1" ht="16.149999999999999" customHeight="1">
      <c r="A72" s="120" t="s">
        <v>355</v>
      </c>
      <c r="B72" s="131"/>
      <c r="C72" s="119"/>
      <c r="D72" s="119"/>
      <c r="E72" s="119"/>
      <c r="F72" s="119"/>
      <c r="G72" s="119"/>
      <c r="H72" s="119"/>
      <c r="I72" s="119">
        <v>12.34</v>
      </c>
      <c r="J72" s="119">
        <v>10.434799999999999</v>
      </c>
      <c r="K72" s="119"/>
      <c r="L72" s="119"/>
      <c r="M72" s="119"/>
      <c r="N72" s="119"/>
      <c r="O72" s="119"/>
      <c r="P72" s="119"/>
      <c r="Q72" s="119"/>
      <c r="R72" s="119"/>
      <c r="S72" s="119"/>
    </row>
    <row r="73" spans="1:19" s="118" customFormat="1" ht="16.149999999999999" customHeight="1" thickBot="1">
      <c r="A73" s="120" t="s">
        <v>354</v>
      </c>
      <c r="B73" s="131">
        <v>30.97</v>
      </c>
      <c r="C73" s="119">
        <v>33.02543</v>
      </c>
      <c r="D73" s="119">
        <v>36</v>
      </c>
      <c r="E73" s="119">
        <v>34.057029999999997</v>
      </c>
      <c r="F73" s="119">
        <v>31.42</v>
      </c>
      <c r="G73" s="119">
        <v>51.847670000000001</v>
      </c>
      <c r="H73" s="119">
        <v>56.268210000000003</v>
      </c>
      <c r="I73" s="119">
        <v>50.66</v>
      </c>
      <c r="J73" s="119">
        <v>42.564239999999998</v>
      </c>
      <c r="K73" s="119">
        <v>39.049999999999997</v>
      </c>
      <c r="L73" s="119">
        <v>31.375080000000001</v>
      </c>
      <c r="M73" s="119">
        <v>31.415900000000001</v>
      </c>
      <c r="N73" s="119">
        <v>28.72</v>
      </c>
      <c r="O73" s="119">
        <v>27.9316</v>
      </c>
      <c r="P73" s="119">
        <v>27.714700000000001</v>
      </c>
      <c r="Q73" s="119">
        <v>27.271789999999999</v>
      </c>
      <c r="R73" s="119">
        <v>47.306379999999997</v>
      </c>
      <c r="S73" s="119">
        <v>47.306379999999997</v>
      </c>
    </row>
    <row r="74" spans="1:19" s="118" customFormat="1" ht="16.149999999999999" customHeight="1" thickBot="1">
      <c r="A74" s="130" t="s">
        <v>353</v>
      </c>
      <c r="B74" s="129">
        <f t="shared" ref="B74:S74" si="7">SUM(B57:B73)</f>
        <v>1066.05</v>
      </c>
      <c r="C74" s="129">
        <f t="shared" si="7"/>
        <v>1140.8775499999997</v>
      </c>
      <c r="D74" s="129">
        <f t="shared" si="7"/>
        <v>1132.98</v>
      </c>
      <c r="E74" s="129">
        <f t="shared" si="7"/>
        <v>1378.1106900000002</v>
      </c>
      <c r="F74" s="129">
        <f t="shared" si="7"/>
        <v>1650.5060000000003</v>
      </c>
      <c r="G74" s="129">
        <f t="shared" si="7"/>
        <v>1832.5578300000002</v>
      </c>
      <c r="H74" s="135">
        <f t="shared" si="7"/>
        <v>2287.9021100000009</v>
      </c>
      <c r="I74" s="129">
        <f t="shared" si="7"/>
        <v>2508.61</v>
      </c>
      <c r="J74" s="129">
        <f t="shared" si="7"/>
        <v>2737.03845</v>
      </c>
      <c r="K74" s="135">
        <f t="shared" si="7"/>
        <v>2513.4700000000003</v>
      </c>
      <c r="L74" s="129">
        <f t="shared" si="7"/>
        <v>2119.0170699999999</v>
      </c>
      <c r="M74" s="129">
        <f t="shared" si="7"/>
        <v>2844.9935700000001</v>
      </c>
      <c r="N74" s="129">
        <f t="shared" si="7"/>
        <v>1809.8999999999999</v>
      </c>
      <c r="O74" s="129">
        <f t="shared" si="7"/>
        <v>1944.2873500000001</v>
      </c>
      <c r="P74" s="129">
        <f t="shared" si="7"/>
        <v>2296.2225200000003</v>
      </c>
      <c r="Q74" s="129">
        <f t="shared" si="7"/>
        <v>2408.2932700000001</v>
      </c>
      <c r="R74" s="129">
        <f t="shared" si="7"/>
        <v>2630.3365600000002</v>
      </c>
      <c r="S74" s="129">
        <f t="shared" si="7"/>
        <v>2630.8498400000003</v>
      </c>
    </row>
    <row r="75" spans="1:19" s="118" customFormat="1" ht="16.149999999999999" customHeight="1">
      <c r="A75" s="120" t="s">
        <v>352</v>
      </c>
      <c r="B75" s="119">
        <v>5164.12</v>
      </c>
      <c r="C75" s="119">
        <v>5338.6459200000008</v>
      </c>
      <c r="D75" s="119">
        <v>5808.83</v>
      </c>
      <c r="E75" s="119">
        <v>6218.2456500000008</v>
      </c>
      <c r="F75" s="119">
        <v>6506.26</v>
      </c>
      <c r="G75" s="119">
        <v>7265.9578600000004</v>
      </c>
      <c r="H75" s="119">
        <v>7662.7284799999998</v>
      </c>
      <c r="I75" s="119">
        <v>7574.02</v>
      </c>
      <c r="J75" s="119">
        <v>7742.8415700000005</v>
      </c>
      <c r="K75" s="119">
        <v>7322.57</v>
      </c>
      <c r="L75" s="119">
        <v>5759.5584800000006</v>
      </c>
      <c r="M75" s="119">
        <v>3765.34159</v>
      </c>
      <c r="N75" s="119">
        <v>4041.56</v>
      </c>
      <c r="O75" s="119">
        <v>4712.1143899999997</v>
      </c>
      <c r="P75" s="119">
        <v>5178.8758799999996</v>
      </c>
      <c r="Q75" s="119">
        <v>5487.8836000000001</v>
      </c>
      <c r="R75" s="119">
        <v>3373.74683</v>
      </c>
      <c r="S75" s="119">
        <v>3373.5633900000003</v>
      </c>
    </row>
    <row r="76" spans="1:19" s="118" customFormat="1" ht="16.149999999999999" customHeight="1">
      <c r="A76" s="120" t="s">
        <v>351</v>
      </c>
      <c r="B76" s="119"/>
      <c r="C76" s="119"/>
      <c r="D76" s="119"/>
      <c r="E76" s="119"/>
      <c r="F76" s="119"/>
      <c r="G76" s="119"/>
      <c r="H76" s="119"/>
      <c r="I76" s="119"/>
      <c r="J76" s="119"/>
      <c r="K76" s="119"/>
      <c r="L76" s="119"/>
      <c r="M76" s="119"/>
      <c r="N76" s="119"/>
      <c r="O76" s="119"/>
      <c r="P76" s="119"/>
      <c r="Q76" s="119"/>
      <c r="R76" s="119">
        <v>2331.2318599999999</v>
      </c>
      <c r="S76" s="119">
        <v>2331.2318599999999</v>
      </c>
    </row>
    <row r="77" spans="1:19" s="118" customFormat="1" ht="16.149999999999999" customHeight="1" thickBot="1">
      <c r="A77" s="120" t="s">
        <v>350</v>
      </c>
      <c r="B77" s="131">
        <v>18.899999999999999</v>
      </c>
      <c r="C77" s="119">
        <v>18.970410000000001</v>
      </c>
      <c r="D77" s="119">
        <v>19.149999999999999</v>
      </c>
      <c r="E77" s="119">
        <v>19.318080000000002</v>
      </c>
      <c r="F77" s="119">
        <v>20.9</v>
      </c>
      <c r="G77" s="119">
        <v>20.996210000000001</v>
      </c>
      <c r="H77" s="119">
        <v>21.103290000000001</v>
      </c>
      <c r="I77" s="119">
        <v>9.64</v>
      </c>
      <c r="J77" s="119">
        <v>7.8236000000000008</v>
      </c>
      <c r="K77" s="119">
        <v>6.54</v>
      </c>
      <c r="L77" s="119">
        <v>5.1848000000000001</v>
      </c>
      <c r="M77" s="119">
        <v>6.16927</v>
      </c>
      <c r="N77" s="119">
        <v>31.96</v>
      </c>
      <c r="O77" s="119">
        <v>34.247019999999999</v>
      </c>
      <c r="P77" s="119">
        <v>36.040059999999997</v>
      </c>
      <c r="Q77" s="119">
        <v>11.37115</v>
      </c>
      <c r="R77" s="119">
        <v>11.16466</v>
      </c>
      <c r="S77" s="119">
        <v>11.16466</v>
      </c>
    </row>
    <row r="78" spans="1:19" s="118" customFormat="1" ht="16.149999999999999" customHeight="1" thickBot="1">
      <c r="A78" s="130" t="s">
        <v>349</v>
      </c>
      <c r="B78" s="129">
        <f t="shared" ref="B78:S78" si="8">SUM(B75:B77)</f>
        <v>5183.0199999999995</v>
      </c>
      <c r="C78" s="129">
        <f t="shared" si="8"/>
        <v>5357.6163300000007</v>
      </c>
      <c r="D78" s="129">
        <f t="shared" si="8"/>
        <v>5827.98</v>
      </c>
      <c r="E78" s="129">
        <f t="shared" si="8"/>
        <v>6237.5637300000008</v>
      </c>
      <c r="F78" s="129">
        <f t="shared" si="8"/>
        <v>6527.16</v>
      </c>
      <c r="G78" s="129">
        <f t="shared" si="8"/>
        <v>7286.9540700000007</v>
      </c>
      <c r="H78" s="129">
        <f t="shared" si="8"/>
        <v>7683.8317699999998</v>
      </c>
      <c r="I78" s="129">
        <f t="shared" si="8"/>
        <v>7583.6600000000008</v>
      </c>
      <c r="J78" s="129">
        <f t="shared" si="8"/>
        <v>7750.6651700000002</v>
      </c>
      <c r="K78" s="129">
        <f t="shared" si="8"/>
        <v>7329.11</v>
      </c>
      <c r="L78" s="129">
        <f t="shared" si="8"/>
        <v>5764.7432800000006</v>
      </c>
      <c r="M78" s="129">
        <f t="shared" si="8"/>
        <v>3771.5108599999999</v>
      </c>
      <c r="N78" s="129">
        <f t="shared" si="8"/>
        <v>4073.52</v>
      </c>
      <c r="O78" s="129">
        <f t="shared" si="8"/>
        <v>4746.3614099999995</v>
      </c>
      <c r="P78" s="129">
        <f t="shared" si="8"/>
        <v>5214.9159399999999</v>
      </c>
      <c r="Q78" s="129">
        <f t="shared" si="8"/>
        <v>5499.2547500000001</v>
      </c>
      <c r="R78" s="129">
        <f t="shared" si="8"/>
        <v>5716.1433500000003</v>
      </c>
      <c r="S78" s="129">
        <f t="shared" si="8"/>
        <v>5715.9599100000005</v>
      </c>
    </row>
    <row r="79" spans="1:19" s="118" customFormat="1" ht="16.149999999999999" customHeight="1" thickBot="1">
      <c r="A79" s="120" t="s">
        <v>348</v>
      </c>
      <c r="B79" s="131">
        <v>8928.44</v>
      </c>
      <c r="C79" s="119">
        <v>10691.38839</v>
      </c>
      <c r="D79" s="119">
        <v>11088.52</v>
      </c>
      <c r="E79" s="119">
        <v>12688.219520000001</v>
      </c>
      <c r="F79" s="119">
        <v>13578.34</v>
      </c>
      <c r="G79" s="119">
        <v>14470.66064</v>
      </c>
      <c r="H79" s="119">
        <v>15777.076660000001</v>
      </c>
      <c r="I79" s="119">
        <v>19615.95</v>
      </c>
      <c r="J79" s="119">
        <v>30974.83628</v>
      </c>
      <c r="K79" s="119">
        <v>30474.06</v>
      </c>
      <c r="L79" s="119">
        <v>28805.052820000001</v>
      </c>
      <c r="M79" s="119">
        <v>26993.695960000001</v>
      </c>
      <c r="N79" s="119">
        <v>29727.53</v>
      </c>
      <c r="O79" s="119">
        <v>25300.04046</v>
      </c>
      <c r="P79" s="119">
        <v>19620.938899999997</v>
      </c>
      <c r="Q79" s="119">
        <v>18318.31265</v>
      </c>
      <c r="R79" s="119">
        <v>17702.180620000003</v>
      </c>
      <c r="S79" s="119">
        <v>17702.180620000003</v>
      </c>
    </row>
    <row r="80" spans="1:19" s="118" customFormat="1" ht="16.149999999999999" customHeight="1" thickBot="1">
      <c r="A80" s="130" t="s">
        <v>347</v>
      </c>
      <c r="B80" s="129">
        <f t="shared" ref="B80:S80" si="9">B79</f>
        <v>8928.44</v>
      </c>
      <c r="C80" s="129">
        <f t="shared" si="9"/>
        <v>10691.38839</v>
      </c>
      <c r="D80" s="129">
        <f t="shared" si="9"/>
        <v>11088.52</v>
      </c>
      <c r="E80" s="129">
        <f t="shared" si="9"/>
        <v>12688.219520000001</v>
      </c>
      <c r="F80" s="129">
        <f t="shared" si="9"/>
        <v>13578.34</v>
      </c>
      <c r="G80" s="129">
        <f t="shared" si="9"/>
        <v>14470.66064</v>
      </c>
      <c r="H80" s="129">
        <f t="shared" si="9"/>
        <v>15777.076660000001</v>
      </c>
      <c r="I80" s="129">
        <f t="shared" si="9"/>
        <v>19615.95</v>
      </c>
      <c r="J80" s="129">
        <f t="shared" si="9"/>
        <v>30974.83628</v>
      </c>
      <c r="K80" s="129">
        <f t="shared" si="9"/>
        <v>30474.06</v>
      </c>
      <c r="L80" s="129">
        <f t="shared" si="9"/>
        <v>28805.052820000001</v>
      </c>
      <c r="M80" s="129">
        <f t="shared" si="9"/>
        <v>26993.695960000001</v>
      </c>
      <c r="N80" s="129">
        <f t="shared" si="9"/>
        <v>29727.53</v>
      </c>
      <c r="O80" s="129">
        <f t="shared" si="9"/>
        <v>25300.04046</v>
      </c>
      <c r="P80" s="129">
        <f t="shared" si="9"/>
        <v>19620.938899999997</v>
      </c>
      <c r="Q80" s="129">
        <f t="shared" si="9"/>
        <v>18318.31265</v>
      </c>
      <c r="R80" s="129">
        <f t="shared" si="9"/>
        <v>17702.180620000003</v>
      </c>
      <c r="S80" s="129">
        <f t="shared" si="9"/>
        <v>17702.180620000003</v>
      </c>
    </row>
    <row r="81" spans="1:19" s="118" customFormat="1" ht="16.149999999999999" customHeight="1">
      <c r="A81" s="120" t="s">
        <v>346</v>
      </c>
      <c r="B81" s="131"/>
      <c r="C81" s="119"/>
      <c r="D81" s="119">
        <v>1.03</v>
      </c>
      <c r="E81" s="119">
        <v>10.006020000000001</v>
      </c>
      <c r="F81" s="119">
        <v>18.239999999999998</v>
      </c>
      <c r="G81" s="119">
        <v>18.717390000000002</v>
      </c>
      <c r="H81" s="119">
        <v>23.84329</v>
      </c>
      <c r="I81" s="119">
        <v>20.07</v>
      </c>
      <c r="J81" s="119">
        <v>19.640049999999999</v>
      </c>
      <c r="K81" s="119"/>
      <c r="L81" s="119"/>
      <c r="M81" s="119"/>
      <c r="N81" s="119"/>
      <c r="O81" s="119"/>
      <c r="P81" s="119"/>
      <c r="Q81" s="119"/>
      <c r="R81" s="119"/>
      <c r="S81" s="119"/>
    </row>
    <row r="82" spans="1:19" s="118" customFormat="1" ht="16.149999999999999" customHeight="1">
      <c r="A82" s="120" t="s">
        <v>345</v>
      </c>
      <c r="B82" s="131">
        <v>597.67999999999995</v>
      </c>
      <c r="C82" s="119">
        <v>593.54068000000007</v>
      </c>
      <c r="D82" s="119">
        <v>607.64</v>
      </c>
      <c r="E82" s="119">
        <v>805.01181999999994</v>
      </c>
      <c r="F82" s="119">
        <v>990.81700000000001</v>
      </c>
      <c r="G82" s="119">
        <v>1149.2458300000001</v>
      </c>
      <c r="H82" s="119">
        <v>1271.9298200000001</v>
      </c>
      <c r="I82" s="119">
        <v>1512.04</v>
      </c>
      <c r="J82" s="119">
        <v>1393.2377300000001</v>
      </c>
      <c r="K82" s="119">
        <v>1126.3</v>
      </c>
      <c r="L82" s="119">
        <v>780.50142000000005</v>
      </c>
      <c r="M82" s="119">
        <v>738.04253000000006</v>
      </c>
      <c r="N82" s="119">
        <v>772.54</v>
      </c>
      <c r="O82" s="119">
        <v>556.04993999999999</v>
      </c>
      <c r="P82" s="119">
        <v>552.78420999999992</v>
      </c>
      <c r="Q82" s="119">
        <v>453.06988999999999</v>
      </c>
      <c r="R82" s="119">
        <v>450.35266999999999</v>
      </c>
      <c r="S82" s="119">
        <v>450.35266999999999</v>
      </c>
    </row>
    <row r="83" spans="1:19" s="118" customFormat="1" ht="16.149999999999999" customHeight="1">
      <c r="A83" s="120" t="s">
        <v>344</v>
      </c>
      <c r="B83" s="131">
        <v>59.67</v>
      </c>
      <c r="C83" s="119">
        <v>59.791699999999999</v>
      </c>
      <c r="D83" s="119">
        <v>54.35</v>
      </c>
      <c r="E83" s="119">
        <v>61.969000000000001</v>
      </c>
      <c r="F83" s="119">
        <v>68.58</v>
      </c>
      <c r="G83" s="119">
        <v>77.894679999999994</v>
      </c>
      <c r="H83" s="119">
        <v>80.374219999999994</v>
      </c>
      <c r="I83" s="119">
        <v>81.400000000000006</v>
      </c>
      <c r="J83" s="119">
        <v>82.802189999999996</v>
      </c>
      <c r="K83" s="119">
        <v>71.5</v>
      </c>
      <c r="L83" s="119">
        <v>37.968489999999996</v>
      </c>
      <c r="M83" s="119">
        <v>26.378880000000002</v>
      </c>
      <c r="N83" s="119">
        <v>25.71</v>
      </c>
      <c r="O83" s="119">
        <v>29.60464</v>
      </c>
      <c r="P83" s="119">
        <v>32.862809999999996</v>
      </c>
      <c r="Q83" s="119">
        <v>19.75787</v>
      </c>
      <c r="R83" s="119">
        <v>29.409099999999999</v>
      </c>
      <c r="S83" s="119">
        <v>29.409099999999999</v>
      </c>
    </row>
    <row r="84" spans="1:19" s="118" customFormat="1" ht="16.149999999999999" customHeight="1" thickBot="1">
      <c r="A84" s="120" t="s">
        <v>343</v>
      </c>
      <c r="B84" s="131"/>
      <c r="C84" s="119"/>
      <c r="D84" s="144"/>
      <c r="E84" s="144">
        <v>1.3343099999999999</v>
      </c>
      <c r="F84" s="144">
        <v>1.73</v>
      </c>
      <c r="G84" s="144">
        <v>1.6980299999999999</v>
      </c>
      <c r="H84" s="144">
        <v>2.2498100000000001</v>
      </c>
      <c r="I84" s="144">
        <v>2.42</v>
      </c>
      <c r="J84" s="144">
        <v>2.3847700000000001</v>
      </c>
      <c r="K84" s="144">
        <v>2.38</v>
      </c>
      <c r="L84" s="144">
        <v>1.4423800000000002</v>
      </c>
      <c r="M84" s="144">
        <v>1.4544699999999999</v>
      </c>
      <c r="N84" s="144">
        <v>1.47</v>
      </c>
      <c r="O84" s="144">
        <v>1.45451</v>
      </c>
      <c r="P84" s="144">
        <v>1.46207</v>
      </c>
      <c r="Q84" s="144">
        <v>1.4142699999999999</v>
      </c>
      <c r="R84" s="144">
        <v>1.48061</v>
      </c>
      <c r="S84" s="144">
        <v>1.48061</v>
      </c>
    </row>
    <row r="85" spans="1:19" s="118" customFormat="1" ht="16.149999999999999" customHeight="1" thickBot="1">
      <c r="A85" s="143" t="s">
        <v>342</v>
      </c>
      <c r="B85" s="141">
        <f t="shared" ref="B85:S85" si="10">SUM(B81:B84)</f>
        <v>657.34999999999991</v>
      </c>
      <c r="C85" s="141">
        <f t="shared" si="10"/>
        <v>653.33238000000006</v>
      </c>
      <c r="D85" s="141">
        <f t="shared" si="10"/>
        <v>663.02</v>
      </c>
      <c r="E85" s="141">
        <f t="shared" si="10"/>
        <v>878.32114999999999</v>
      </c>
      <c r="F85" s="141">
        <f t="shared" si="10"/>
        <v>1079.367</v>
      </c>
      <c r="G85" s="141">
        <f t="shared" si="10"/>
        <v>1247.55593</v>
      </c>
      <c r="H85" s="141">
        <f t="shared" si="10"/>
        <v>1378.39714</v>
      </c>
      <c r="I85" s="141">
        <f t="shared" si="10"/>
        <v>1615.93</v>
      </c>
      <c r="J85" s="141">
        <f t="shared" si="10"/>
        <v>1498.06474</v>
      </c>
      <c r="K85" s="142">
        <f t="shared" si="10"/>
        <v>1200.18</v>
      </c>
      <c r="L85" s="141">
        <f t="shared" si="10"/>
        <v>819.91228999999998</v>
      </c>
      <c r="M85" s="141">
        <f t="shared" si="10"/>
        <v>765.87588000000005</v>
      </c>
      <c r="N85" s="141">
        <f t="shared" si="10"/>
        <v>799.72</v>
      </c>
      <c r="O85" s="141">
        <f t="shared" si="10"/>
        <v>587.10909000000004</v>
      </c>
      <c r="P85" s="141">
        <f t="shared" si="10"/>
        <v>587.10908999999992</v>
      </c>
      <c r="Q85" s="141">
        <f t="shared" si="10"/>
        <v>474.24203</v>
      </c>
      <c r="R85" s="141">
        <f t="shared" si="10"/>
        <v>481.24238000000003</v>
      </c>
      <c r="S85" s="141">
        <f t="shared" si="10"/>
        <v>481.24238000000003</v>
      </c>
    </row>
    <row r="86" spans="1:19" s="118" customFormat="1" ht="16.149999999999999" customHeight="1">
      <c r="A86" s="120" t="s">
        <v>341</v>
      </c>
      <c r="B86" s="131">
        <v>96.54</v>
      </c>
      <c r="C86" s="119">
        <v>99.335030000000003</v>
      </c>
      <c r="D86" s="119">
        <v>104.34</v>
      </c>
      <c r="E86" s="119">
        <v>116.28686999999999</v>
      </c>
      <c r="F86" s="119">
        <v>120.41</v>
      </c>
      <c r="G86" s="119">
        <v>124.58595</v>
      </c>
      <c r="H86" s="119">
        <v>165.28005999999999</v>
      </c>
      <c r="I86" s="119">
        <v>161.31</v>
      </c>
      <c r="J86" s="119">
        <v>161.22705999999999</v>
      </c>
      <c r="K86" s="119">
        <v>140.33000000000001</v>
      </c>
      <c r="L86" s="119">
        <v>127.0299</v>
      </c>
      <c r="M86" s="119">
        <v>122.11388000000001</v>
      </c>
      <c r="N86" s="131">
        <v>124.03</v>
      </c>
      <c r="O86" s="131">
        <v>122.87253</v>
      </c>
      <c r="P86" s="131">
        <v>122.93974</v>
      </c>
      <c r="Q86" s="131">
        <v>124.09296999999999</v>
      </c>
      <c r="R86" s="131">
        <v>126.46369</v>
      </c>
      <c r="S86" s="131">
        <v>145.79938000000001</v>
      </c>
    </row>
    <row r="87" spans="1:19" s="118" customFormat="1" ht="16.149999999999999" customHeight="1" thickBot="1">
      <c r="A87" s="120" t="s">
        <v>340</v>
      </c>
      <c r="B87" s="131">
        <v>5494.68</v>
      </c>
      <c r="C87" s="119">
        <v>5659.6595399999997</v>
      </c>
      <c r="D87" s="119">
        <v>5393.46</v>
      </c>
      <c r="E87" s="119">
        <v>7867.7846200000004</v>
      </c>
      <c r="F87" s="119">
        <v>9079.14</v>
      </c>
      <c r="G87" s="119">
        <v>10328.748149999999</v>
      </c>
      <c r="H87" s="119">
        <v>11067.441419999999</v>
      </c>
      <c r="I87" s="119">
        <v>12759.18</v>
      </c>
      <c r="J87" s="119">
        <v>6201.0627699999995</v>
      </c>
      <c r="K87" s="119">
        <v>7630.26</v>
      </c>
      <c r="L87" s="119">
        <v>2774.0851200000002</v>
      </c>
      <c r="M87" s="119">
        <v>4314.1849099999999</v>
      </c>
      <c r="N87" s="131">
        <v>4253.37</v>
      </c>
      <c r="O87" s="131">
        <v>5221.2656100000004</v>
      </c>
      <c r="P87" s="131">
        <v>5867.1837599999999</v>
      </c>
      <c r="Q87" s="131">
        <v>14163.63825</v>
      </c>
      <c r="R87" s="131">
        <v>17170.27648</v>
      </c>
      <c r="S87" s="131">
        <v>17150.940790000001</v>
      </c>
    </row>
    <row r="88" spans="1:19" s="118" customFormat="1" ht="16.149999999999999" customHeight="1" thickBot="1">
      <c r="A88" s="130" t="s">
        <v>339</v>
      </c>
      <c r="B88" s="129">
        <f t="shared" ref="B88:S88" si="11">SUM(B86:B87)</f>
        <v>5591.22</v>
      </c>
      <c r="C88" s="129">
        <f t="shared" si="11"/>
        <v>5758.9945699999998</v>
      </c>
      <c r="D88" s="129">
        <f t="shared" si="11"/>
        <v>5497.8</v>
      </c>
      <c r="E88" s="129">
        <f t="shared" si="11"/>
        <v>7984.0714900000003</v>
      </c>
      <c r="F88" s="129">
        <f t="shared" si="11"/>
        <v>9199.5499999999993</v>
      </c>
      <c r="G88" s="129">
        <f t="shared" si="11"/>
        <v>10453.3341</v>
      </c>
      <c r="H88" s="129">
        <f t="shared" si="11"/>
        <v>11232.721479999998</v>
      </c>
      <c r="I88" s="129">
        <f t="shared" si="11"/>
        <v>12920.49</v>
      </c>
      <c r="J88" s="129">
        <f t="shared" si="11"/>
        <v>6362.2898299999997</v>
      </c>
      <c r="K88" s="129">
        <f t="shared" si="11"/>
        <v>7770.59</v>
      </c>
      <c r="L88" s="129">
        <f t="shared" si="11"/>
        <v>2901.1150200000002</v>
      </c>
      <c r="M88" s="129">
        <f t="shared" si="11"/>
        <v>4436.2987899999998</v>
      </c>
      <c r="N88" s="135">
        <f t="shared" si="11"/>
        <v>4377.3999999999996</v>
      </c>
      <c r="O88" s="135">
        <f t="shared" si="11"/>
        <v>5344.13814</v>
      </c>
      <c r="P88" s="135">
        <f t="shared" si="11"/>
        <v>5990.1234999999997</v>
      </c>
      <c r="Q88" s="135">
        <f t="shared" si="11"/>
        <v>14287.73122</v>
      </c>
      <c r="R88" s="135">
        <f t="shared" si="11"/>
        <v>17296.740170000001</v>
      </c>
      <c r="S88" s="135">
        <f t="shared" si="11"/>
        <v>17296.740170000001</v>
      </c>
    </row>
    <row r="89" spans="1:19" s="118" customFormat="1" ht="16.149999999999999" customHeight="1">
      <c r="A89" s="120" t="s">
        <v>338</v>
      </c>
      <c r="B89" s="131">
        <v>186.73</v>
      </c>
      <c r="C89" s="119">
        <v>93.726939999999999</v>
      </c>
      <c r="D89" s="119">
        <v>91.59</v>
      </c>
      <c r="E89" s="119">
        <v>95.153289999999998</v>
      </c>
      <c r="F89" s="119">
        <v>81.37</v>
      </c>
      <c r="G89" s="119">
        <v>81.105490000000003</v>
      </c>
      <c r="H89" s="119">
        <v>85.954629999999995</v>
      </c>
      <c r="I89" s="119">
        <v>95.28</v>
      </c>
      <c r="J89" s="119">
        <v>97.047049999999999</v>
      </c>
      <c r="K89" s="119">
        <v>102.86</v>
      </c>
      <c r="L89" s="119">
        <v>99.055530000000005</v>
      </c>
      <c r="M89" s="119">
        <v>83.897729999999996</v>
      </c>
      <c r="N89" s="119">
        <v>69.42</v>
      </c>
      <c r="O89" s="119">
        <v>69.699420000000003</v>
      </c>
      <c r="P89" s="119">
        <v>65.903840000000002</v>
      </c>
      <c r="Q89" s="119">
        <v>66.172929999999994</v>
      </c>
      <c r="R89" s="119">
        <v>66.109179999999995</v>
      </c>
      <c r="S89" s="131">
        <v>65.533820000000006</v>
      </c>
    </row>
    <row r="90" spans="1:19" s="118" customFormat="1" ht="15" hidden="1" customHeight="1">
      <c r="A90" s="120" t="s">
        <v>337</v>
      </c>
      <c r="B90" s="131">
        <v>7.41</v>
      </c>
      <c r="C90" s="119">
        <v>19.598650000000003</v>
      </c>
      <c r="D90" s="119"/>
      <c r="E90" s="119"/>
    </row>
    <row r="91" spans="1:19" s="118" customFormat="1" ht="16.149999999999999" customHeight="1">
      <c r="A91" s="120" t="s">
        <v>336</v>
      </c>
      <c r="B91" s="131">
        <v>67.14</v>
      </c>
      <c r="C91" s="119">
        <v>133.41595999999998</v>
      </c>
      <c r="D91" s="119">
        <v>133.66</v>
      </c>
      <c r="E91" s="119">
        <v>155.39573000000001</v>
      </c>
      <c r="F91" s="119">
        <v>238.64</v>
      </c>
      <c r="G91" s="119">
        <v>226.57361</v>
      </c>
      <c r="H91" s="119">
        <v>229.02377000000001</v>
      </c>
      <c r="I91" s="119">
        <v>224.05</v>
      </c>
      <c r="J91" s="119">
        <v>199.93705</v>
      </c>
      <c r="K91" s="119">
        <v>42.02</v>
      </c>
      <c r="L91" s="119">
        <v>11.171370000000001</v>
      </c>
      <c r="M91" s="119">
        <v>9.4269400000000001</v>
      </c>
      <c r="N91" s="119">
        <v>8.64</v>
      </c>
      <c r="O91" s="119">
        <v>8.8054199999999998</v>
      </c>
      <c r="P91" s="119">
        <v>8.8356600000000007</v>
      </c>
      <c r="Q91" s="119">
        <v>8.8641900000000007</v>
      </c>
      <c r="R91" s="119">
        <v>9.0244499999999999</v>
      </c>
      <c r="S91" s="119">
        <v>9.0244499999999999</v>
      </c>
    </row>
    <row r="92" spans="1:19" s="118" customFormat="1" ht="16.149999999999999" customHeight="1">
      <c r="A92" s="134" t="s">
        <v>335</v>
      </c>
      <c r="B92" s="131">
        <v>228.49</v>
      </c>
      <c r="C92" s="119">
        <v>220.78787</v>
      </c>
      <c r="D92" s="119">
        <v>218.63</v>
      </c>
      <c r="E92" s="119">
        <v>197.09492</v>
      </c>
      <c r="F92" s="119">
        <v>190.79</v>
      </c>
      <c r="G92" s="119">
        <v>216.82827</v>
      </c>
      <c r="H92" s="119">
        <v>215.02296999999999</v>
      </c>
      <c r="I92" s="119">
        <v>211.12</v>
      </c>
      <c r="J92" s="119">
        <v>205.10281000000001</v>
      </c>
      <c r="K92" s="119">
        <v>175.83</v>
      </c>
      <c r="L92" s="119">
        <v>148.28349</v>
      </c>
      <c r="M92" s="119">
        <v>149.65426000000002</v>
      </c>
      <c r="N92" s="119">
        <v>136.83000000000001</v>
      </c>
      <c r="O92" s="119">
        <v>129.18244999999999</v>
      </c>
      <c r="P92" s="119">
        <v>130.72307000000001</v>
      </c>
      <c r="Q92" s="119">
        <v>133.58596</v>
      </c>
      <c r="R92" s="119">
        <v>150.15834000000001</v>
      </c>
      <c r="S92" s="119">
        <v>150.15834000000001</v>
      </c>
    </row>
    <row r="93" spans="1:19" s="118" customFormat="1" ht="16.149999999999999" customHeight="1">
      <c r="A93" s="120" t="s">
        <v>334</v>
      </c>
      <c r="B93" s="131">
        <v>4205.3599999999997</v>
      </c>
      <c r="C93" s="119">
        <v>38.289279999999998</v>
      </c>
      <c r="D93" s="119">
        <v>42.38</v>
      </c>
      <c r="E93" s="119">
        <v>46.892789999999998</v>
      </c>
      <c r="F93" s="119">
        <v>50.52</v>
      </c>
      <c r="G93" s="119">
        <v>53.76305</v>
      </c>
      <c r="H93" s="119">
        <v>58.534790000000001</v>
      </c>
      <c r="I93" s="119">
        <v>60.65</v>
      </c>
      <c r="J93" s="119">
        <v>63.00508</v>
      </c>
      <c r="K93" s="119">
        <v>61.95</v>
      </c>
      <c r="L93" s="119">
        <v>59.963989999999995</v>
      </c>
      <c r="M93" s="119">
        <v>57.63447</v>
      </c>
      <c r="N93" s="119">
        <v>58.09</v>
      </c>
      <c r="O93" s="119">
        <v>58.299630000000001</v>
      </c>
      <c r="P93" s="119">
        <v>64.174940000000007</v>
      </c>
      <c r="Q93" s="119">
        <v>64.914379999999994</v>
      </c>
      <c r="R93" s="119">
        <v>65.70441000000001</v>
      </c>
      <c r="S93" s="119">
        <v>65.70441000000001</v>
      </c>
    </row>
    <row r="94" spans="1:19" s="118" customFormat="1" ht="16.149999999999999" customHeight="1">
      <c r="A94" s="120" t="s">
        <v>333</v>
      </c>
      <c r="B94" s="131">
        <v>6528.23</v>
      </c>
      <c r="C94" s="119">
        <v>84.666049999999998</v>
      </c>
      <c r="D94" s="119">
        <v>95.47</v>
      </c>
      <c r="E94" s="119">
        <v>119.24973</v>
      </c>
      <c r="F94" s="119">
        <v>127.86</v>
      </c>
      <c r="G94" s="119">
        <v>133.61945</v>
      </c>
      <c r="H94" s="119">
        <v>152.81438</v>
      </c>
      <c r="I94" s="119">
        <v>154.30000000000001</v>
      </c>
      <c r="J94" s="119">
        <v>150.98354999999998</v>
      </c>
      <c r="K94" s="119">
        <v>149.27000000000001</v>
      </c>
      <c r="L94" s="119">
        <v>141.62798999999998</v>
      </c>
      <c r="M94" s="119">
        <v>140.73219</v>
      </c>
      <c r="N94" s="119">
        <v>146</v>
      </c>
      <c r="O94" s="119">
        <v>149.67984999999999</v>
      </c>
      <c r="P94" s="119">
        <v>150.93261999999999</v>
      </c>
      <c r="Q94" s="119">
        <v>156.91073</v>
      </c>
      <c r="R94" s="119">
        <v>160.40946</v>
      </c>
      <c r="S94" s="119">
        <v>160.40946</v>
      </c>
    </row>
    <row r="95" spans="1:19" s="118" customFormat="1" ht="16.149999999999999" customHeight="1">
      <c r="A95" s="120" t="s">
        <v>332</v>
      </c>
      <c r="B95" s="131">
        <v>17.27</v>
      </c>
      <c r="C95" s="119">
        <v>17.37538</v>
      </c>
      <c r="D95" s="119">
        <v>18.809999999999999</v>
      </c>
      <c r="E95" s="119">
        <v>21.76934</v>
      </c>
      <c r="F95" s="119">
        <v>25.1</v>
      </c>
      <c r="G95" s="119">
        <v>35.85895</v>
      </c>
      <c r="H95" s="119">
        <v>36.988529999999997</v>
      </c>
      <c r="I95" s="119">
        <v>37.729999999999997</v>
      </c>
      <c r="J95" s="119">
        <v>38.548160000000003</v>
      </c>
      <c r="K95" s="119">
        <v>32.1</v>
      </c>
      <c r="L95" s="119">
        <v>32.559809999999999</v>
      </c>
      <c r="M95" s="119">
        <v>32.146500000000003</v>
      </c>
      <c r="N95" s="119">
        <v>32.1</v>
      </c>
      <c r="O95" s="119">
        <v>31.37377</v>
      </c>
      <c r="P95" s="119">
        <v>31.37377</v>
      </c>
      <c r="Q95" s="119">
        <v>34.87377</v>
      </c>
      <c r="R95" s="119">
        <v>35.123769999999993</v>
      </c>
      <c r="S95" s="119">
        <v>35.123769999999993</v>
      </c>
    </row>
    <row r="96" spans="1:19" s="118" customFormat="1" ht="16.149999999999999" customHeight="1">
      <c r="A96" s="120" t="s">
        <v>331</v>
      </c>
      <c r="B96" s="131">
        <v>1543.91</v>
      </c>
      <c r="C96" s="119">
        <v>1629.8953200000001</v>
      </c>
      <c r="D96" s="119">
        <v>1722.98</v>
      </c>
      <c r="E96" s="119">
        <v>1713.67517</v>
      </c>
      <c r="F96" s="119">
        <v>1810.79</v>
      </c>
      <c r="G96" s="119">
        <v>1879.4869100000001</v>
      </c>
      <c r="H96" s="119">
        <v>1977.35257</v>
      </c>
      <c r="I96" s="119">
        <v>2060.46</v>
      </c>
      <c r="J96" s="119">
        <v>2104.7000600000001</v>
      </c>
      <c r="K96" s="119">
        <v>2088.35</v>
      </c>
      <c r="L96" s="119">
        <v>2082.9006199999999</v>
      </c>
      <c r="M96" s="119">
        <v>2056.07512</v>
      </c>
      <c r="N96" s="119">
        <v>2060.2800000000002</v>
      </c>
      <c r="O96" s="119">
        <v>2091.29331</v>
      </c>
      <c r="P96" s="119">
        <v>2164.0402100000001</v>
      </c>
      <c r="Q96" s="119">
        <v>2177.6916700000002</v>
      </c>
      <c r="R96" s="119">
        <v>2249.0964300000001</v>
      </c>
      <c r="S96" s="119">
        <v>2247.7569399999998</v>
      </c>
    </row>
    <row r="97" spans="1:19" s="118" customFormat="1" ht="16.149999999999999" customHeight="1">
      <c r="A97" s="120" t="s">
        <v>330</v>
      </c>
      <c r="B97" s="131">
        <v>698.44</v>
      </c>
      <c r="C97" s="119">
        <v>730.75500999999997</v>
      </c>
      <c r="D97" s="119">
        <v>825.5</v>
      </c>
      <c r="E97" s="119">
        <v>858.75018999999998</v>
      </c>
      <c r="F97" s="119">
        <v>950.71</v>
      </c>
      <c r="G97" s="119">
        <v>1036.5694800000001</v>
      </c>
      <c r="H97" s="119">
        <v>1119.9322999999999</v>
      </c>
      <c r="I97" s="119">
        <v>1187.19</v>
      </c>
      <c r="J97" s="119">
        <v>1180.95839</v>
      </c>
      <c r="K97" s="119">
        <v>1005.31</v>
      </c>
      <c r="L97" s="119">
        <v>831.12896999999998</v>
      </c>
      <c r="M97" s="119">
        <v>817.53356000000008</v>
      </c>
      <c r="N97" s="119">
        <v>823.42</v>
      </c>
      <c r="O97" s="119">
        <v>823.15851999999995</v>
      </c>
      <c r="P97" s="119">
        <v>857.21189000000004</v>
      </c>
      <c r="Q97" s="119">
        <v>904.75510999999995</v>
      </c>
      <c r="R97" s="119">
        <v>944.37756000000002</v>
      </c>
      <c r="S97" s="119">
        <v>944.37756000000002</v>
      </c>
    </row>
    <row r="98" spans="1:19" s="118" customFormat="1" ht="16.149999999999999" customHeight="1">
      <c r="A98" s="120" t="s">
        <v>329</v>
      </c>
      <c r="B98" s="131">
        <v>282.7</v>
      </c>
      <c r="C98" s="119">
        <v>299.64195000000001</v>
      </c>
      <c r="D98" s="119">
        <v>305.56</v>
      </c>
      <c r="E98" s="119">
        <v>314.06923</v>
      </c>
      <c r="F98" s="119">
        <v>349.25</v>
      </c>
      <c r="G98" s="119">
        <v>389.32772999999997</v>
      </c>
      <c r="H98" s="119">
        <v>405.27253000000002</v>
      </c>
      <c r="I98" s="119">
        <v>431.81</v>
      </c>
      <c r="J98" s="119">
        <v>438.14731999999998</v>
      </c>
      <c r="K98" s="119">
        <v>375.4</v>
      </c>
      <c r="L98" s="119">
        <v>365.40767999999997</v>
      </c>
      <c r="M98" s="119">
        <v>369.40024</v>
      </c>
      <c r="N98" s="119">
        <v>378.51</v>
      </c>
      <c r="O98" s="119">
        <v>395.82934</v>
      </c>
      <c r="P98" s="119">
        <v>419.82403000000005</v>
      </c>
      <c r="Q98" s="119">
        <v>433.31986999999998</v>
      </c>
      <c r="R98" s="119">
        <v>459.00526000000002</v>
      </c>
      <c r="S98" s="119">
        <v>459.00526000000002</v>
      </c>
    </row>
    <row r="99" spans="1:19" s="118" customFormat="1" ht="16.149999999999999" customHeight="1">
      <c r="A99" s="120" t="s">
        <v>328</v>
      </c>
      <c r="B99" s="131">
        <v>59.37</v>
      </c>
      <c r="C99" s="119">
        <v>45.878190000000004</v>
      </c>
      <c r="D99" s="119">
        <v>46.8</v>
      </c>
      <c r="E99" s="119">
        <v>46.798000000000002</v>
      </c>
      <c r="F99" s="119">
        <v>49.76</v>
      </c>
      <c r="G99" s="119">
        <v>45.869250000000001</v>
      </c>
      <c r="H99" s="119">
        <v>46.786639999999998</v>
      </c>
      <c r="I99" s="119">
        <v>47.25</v>
      </c>
      <c r="J99" s="119">
        <v>46.87236</v>
      </c>
      <c r="K99" s="119">
        <v>0</v>
      </c>
      <c r="L99" s="119"/>
      <c r="M99" s="119"/>
      <c r="N99" s="119"/>
      <c r="O99" s="119"/>
      <c r="P99" s="119"/>
      <c r="Q99" s="119"/>
      <c r="R99" s="119"/>
      <c r="S99" s="119"/>
    </row>
    <row r="100" spans="1:19" s="118" customFormat="1" ht="16.149999999999999" customHeight="1">
      <c r="A100" s="120" t="s">
        <v>327</v>
      </c>
      <c r="B100" s="131">
        <v>19.77</v>
      </c>
      <c r="C100" s="119">
        <v>23.427820000000001</v>
      </c>
      <c r="D100" s="119">
        <v>25.16</v>
      </c>
      <c r="E100" s="119">
        <v>28.785319999999999</v>
      </c>
      <c r="F100" s="119">
        <v>35.54</v>
      </c>
      <c r="G100" s="119">
        <v>42.53998</v>
      </c>
      <c r="H100" s="119">
        <v>47.865479999999998</v>
      </c>
      <c r="I100" s="119">
        <v>53.5</v>
      </c>
      <c r="J100" s="119">
        <v>54.9512</v>
      </c>
      <c r="K100" s="119">
        <v>139.04</v>
      </c>
      <c r="L100" s="119">
        <v>145.24222</v>
      </c>
      <c r="M100" s="119">
        <v>87.224419999999995</v>
      </c>
      <c r="N100" s="119">
        <v>73.67</v>
      </c>
      <c r="O100" s="119">
        <v>53.01858</v>
      </c>
      <c r="P100" s="119">
        <v>51.515219999999999</v>
      </c>
      <c r="Q100" s="119">
        <v>55.679699999999997</v>
      </c>
      <c r="R100" s="119">
        <v>56.35436</v>
      </c>
      <c r="S100" s="119">
        <v>56.35436</v>
      </c>
    </row>
    <row r="101" spans="1:19" s="118" customFormat="1" ht="16.149999999999999" customHeight="1">
      <c r="A101" s="120" t="s">
        <v>326</v>
      </c>
      <c r="B101" s="131">
        <v>25.85</v>
      </c>
      <c r="C101" s="119">
        <v>21.950110000000002</v>
      </c>
      <c r="D101" s="119">
        <v>32.049999999999997</v>
      </c>
      <c r="E101" s="119">
        <v>35.600650000000002</v>
      </c>
      <c r="F101" s="119">
        <v>34.14</v>
      </c>
      <c r="G101" s="119">
        <v>36.574539999999999</v>
      </c>
      <c r="H101" s="119">
        <v>35.504359999999998</v>
      </c>
      <c r="I101" s="119">
        <v>28.26</v>
      </c>
      <c r="J101" s="119">
        <v>27.959619999999997</v>
      </c>
      <c r="K101" s="119">
        <v>70.010000000000005</v>
      </c>
      <c r="L101" s="119">
        <v>38.422550000000001</v>
      </c>
      <c r="M101" s="119">
        <v>33.138190000000002</v>
      </c>
      <c r="N101" s="119">
        <v>33.880000000000003</v>
      </c>
      <c r="O101" s="119">
        <v>33.806510000000003</v>
      </c>
      <c r="P101" s="119">
        <v>35.70975</v>
      </c>
      <c r="Q101" s="119">
        <v>36.636870000000002</v>
      </c>
      <c r="R101" s="119">
        <v>37.640689999999999</v>
      </c>
      <c r="S101" s="119">
        <v>37.640689999999999</v>
      </c>
    </row>
    <row r="102" spans="1:19" s="118" customFormat="1" ht="16.149999999999999" customHeight="1">
      <c r="A102" s="120" t="s">
        <v>325</v>
      </c>
      <c r="B102" s="119">
        <v>0</v>
      </c>
      <c r="C102" s="119">
        <v>10.695110000000001</v>
      </c>
      <c r="D102" s="119">
        <v>13.81</v>
      </c>
      <c r="E102" s="119">
        <v>14.872669999999999</v>
      </c>
      <c r="F102" s="119">
        <v>16.09</v>
      </c>
      <c r="G102" s="119">
        <v>18.087029999999999</v>
      </c>
      <c r="H102" s="119">
        <v>18.556709999999999</v>
      </c>
      <c r="I102" s="119">
        <v>19.190000000000001</v>
      </c>
      <c r="J102" s="119">
        <v>18.805439999999997</v>
      </c>
      <c r="K102" s="119">
        <v>17.37</v>
      </c>
      <c r="L102" s="119">
        <v>15.922319999999999</v>
      </c>
      <c r="M102" s="119">
        <v>14.936500000000001</v>
      </c>
      <c r="N102" s="119">
        <v>14.94</v>
      </c>
      <c r="O102" s="119">
        <v>15.733140000000001</v>
      </c>
      <c r="P102" s="119">
        <v>15.80724</v>
      </c>
      <c r="Q102" s="119">
        <v>16.007239999999999</v>
      </c>
      <c r="R102" s="119">
        <v>16.143470000000001</v>
      </c>
      <c r="S102" s="119">
        <v>16.143470000000001</v>
      </c>
    </row>
    <row r="103" spans="1:19" s="118" customFormat="1" ht="16.149999999999999" customHeight="1" thickBot="1">
      <c r="A103" s="120" t="s">
        <v>324</v>
      </c>
      <c r="B103" s="119"/>
      <c r="C103" s="119"/>
      <c r="D103" s="119"/>
      <c r="E103" s="119"/>
      <c r="F103" s="119"/>
      <c r="G103" s="119">
        <v>4.0984999999999996</v>
      </c>
      <c r="H103" s="119">
        <v>4.2075699999999996</v>
      </c>
      <c r="I103" s="119">
        <v>12.12</v>
      </c>
      <c r="J103" s="119">
        <v>7.5837599999999998</v>
      </c>
      <c r="K103" s="119">
        <v>3.97</v>
      </c>
      <c r="L103" s="119">
        <v>3.9379899999999997</v>
      </c>
      <c r="M103" s="119">
        <v>3.9709899999999996</v>
      </c>
      <c r="N103" s="119">
        <v>3.97</v>
      </c>
      <c r="O103" s="119">
        <v>3.9520400000000002</v>
      </c>
      <c r="P103" s="119">
        <v>4.06541</v>
      </c>
      <c r="Q103" s="119">
        <v>4.06541</v>
      </c>
      <c r="R103" s="119">
        <v>4.1044799999999997</v>
      </c>
      <c r="S103" s="119">
        <v>4.1044799999999997</v>
      </c>
    </row>
    <row r="104" spans="1:19" s="118" customFormat="1" ht="16.149999999999999" customHeight="1" thickBot="1">
      <c r="A104" s="130" t="s">
        <v>323</v>
      </c>
      <c r="B104" s="129">
        <f>SUM(B89:B102)</f>
        <v>13870.670000000002</v>
      </c>
      <c r="C104" s="129">
        <f>SUM(C89:C102)</f>
        <v>3370.1036400000003</v>
      </c>
      <c r="D104" s="129">
        <f>SUM(D89:D102)</f>
        <v>3572.4</v>
      </c>
      <c r="E104" s="129">
        <f>SUM(E89:E102)</f>
        <v>3648.1070300000001</v>
      </c>
      <c r="F104" s="129">
        <f>SUM(F89:F102)</f>
        <v>3960.56</v>
      </c>
      <c r="G104" s="129">
        <f t="shared" ref="G104:S104" si="12">SUM(G89:G103)</f>
        <v>4200.3022399999991</v>
      </c>
      <c r="H104" s="129">
        <f t="shared" si="12"/>
        <v>4433.8172299999997</v>
      </c>
      <c r="I104" s="129">
        <f t="shared" si="12"/>
        <v>4622.91</v>
      </c>
      <c r="J104" s="129">
        <f t="shared" si="12"/>
        <v>4634.6018500000009</v>
      </c>
      <c r="K104" s="135">
        <f t="shared" si="12"/>
        <v>4263.4800000000005</v>
      </c>
      <c r="L104" s="129">
        <f t="shared" si="12"/>
        <v>3975.6245299999991</v>
      </c>
      <c r="M104" s="129">
        <f t="shared" si="12"/>
        <v>3855.7711099999997</v>
      </c>
      <c r="N104" s="129">
        <f t="shared" si="12"/>
        <v>3839.75</v>
      </c>
      <c r="O104" s="129">
        <f t="shared" si="12"/>
        <v>3863.8319799999999</v>
      </c>
      <c r="P104" s="129">
        <f t="shared" si="12"/>
        <v>4000.117650000001</v>
      </c>
      <c r="Q104" s="129">
        <f t="shared" si="12"/>
        <v>4093.4778300000003</v>
      </c>
      <c r="R104" s="129">
        <f t="shared" si="12"/>
        <v>4253.2518600000003</v>
      </c>
      <c r="S104" s="135">
        <f t="shared" si="12"/>
        <v>4251.3370100000002</v>
      </c>
    </row>
    <row r="105" spans="1:19" s="118" customFormat="1" ht="16.149999999999999" customHeight="1">
      <c r="A105" s="120" t="s">
        <v>322</v>
      </c>
      <c r="B105" s="131">
        <v>92.86</v>
      </c>
      <c r="C105" s="119">
        <v>96.016350000000003</v>
      </c>
      <c r="D105" s="119">
        <v>77.72</v>
      </c>
      <c r="E105" s="119">
        <v>72.88597</v>
      </c>
      <c r="F105" s="119">
        <v>76.8</v>
      </c>
      <c r="G105" s="119">
        <v>83.487449999999995</v>
      </c>
      <c r="H105" s="119">
        <v>90.144130000000004</v>
      </c>
      <c r="I105" s="119">
        <v>76.48</v>
      </c>
      <c r="J105" s="119">
        <v>82.19726</v>
      </c>
      <c r="K105" s="119">
        <v>79.760000000000005</v>
      </c>
      <c r="L105" s="119">
        <v>74.83</v>
      </c>
      <c r="M105" s="119">
        <v>107.87705</v>
      </c>
      <c r="N105" s="119">
        <v>98.96</v>
      </c>
      <c r="O105" s="119">
        <v>89.632549999999995</v>
      </c>
      <c r="P105" s="119">
        <v>89.541809999999998</v>
      </c>
      <c r="Q105" s="119">
        <v>87.134100000000004</v>
      </c>
      <c r="R105" s="119">
        <v>86.402020000000007</v>
      </c>
      <c r="S105" s="119">
        <v>49.793089999999999</v>
      </c>
    </row>
    <row r="106" spans="1:19" s="118" customFormat="1" ht="16.149999999999999" customHeight="1">
      <c r="A106" s="134" t="s">
        <v>321</v>
      </c>
      <c r="B106" s="131">
        <v>5.94</v>
      </c>
      <c r="C106" s="119">
        <v>6.0263500000000008</v>
      </c>
      <c r="D106" s="119">
        <v>6.27</v>
      </c>
      <c r="E106" s="119">
        <v>6.3908999999999994</v>
      </c>
      <c r="F106" s="119">
        <v>6.47</v>
      </c>
      <c r="G106" s="119">
        <v>6.5211100000000002</v>
      </c>
      <c r="H106" s="119">
        <v>6.6631</v>
      </c>
      <c r="I106" s="119">
        <v>6.71</v>
      </c>
      <c r="J106" s="119">
        <v>7.5620500000000002</v>
      </c>
      <c r="K106" s="119">
        <v>52.33</v>
      </c>
      <c r="L106" s="119">
        <v>4.2300000000000004</v>
      </c>
      <c r="M106" s="119">
        <v>3.4510300000000003</v>
      </c>
      <c r="N106" s="119">
        <v>3.94</v>
      </c>
      <c r="O106" s="119">
        <v>3.3905099999999999</v>
      </c>
      <c r="P106" s="119">
        <v>3.2581700000000002</v>
      </c>
      <c r="Q106" s="119">
        <v>2.6828799999999999</v>
      </c>
      <c r="R106" s="119">
        <v>2.7032099999999999</v>
      </c>
      <c r="S106" s="119">
        <v>2.7032099999999999</v>
      </c>
    </row>
    <row r="107" spans="1:19" s="118" customFormat="1" ht="16.149999999999999" customHeight="1">
      <c r="A107" s="120" t="s">
        <v>320</v>
      </c>
      <c r="B107" s="131">
        <v>236.15</v>
      </c>
      <c r="C107" s="119">
        <v>149.46898000000002</v>
      </c>
      <c r="D107" s="119">
        <v>155.66</v>
      </c>
      <c r="E107" s="119">
        <v>161.96407000000002</v>
      </c>
      <c r="F107" s="119">
        <v>350.01</v>
      </c>
      <c r="G107" s="119">
        <v>460.48777999999999</v>
      </c>
      <c r="H107" s="119">
        <v>692.55735000000004</v>
      </c>
      <c r="I107" s="119">
        <v>690.62</v>
      </c>
      <c r="J107" s="119">
        <v>643.82037000000003</v>
      </c>
      <c r="K107" s="119">
        <v>263.33</v>
      </c>
      <c r="L107" s="119">
        <v>167.14</v>
      </c>
      <c r="M107" s="119">
        <v>159.83673999999999</v>
      </c>
      <c r="N107" s="119">
        <v>159.36000000000001</v>
      </c>
      <c r="O107" s="119">
        <v>158.89402000000001</v>
      </c>
      <c r="P107" s="119">
        <v>161.68991</v>
      </c>
      <c r="Q107" s="119">
        <v>159.23473000000001</v>
      </c>
      <c r="R107" s="119">
        <v>160.33677</v>
      </c>
      <c r="S107" s="119">
        <v>155.72377</v>
      </c>
    </row>
    <row r="108" spans="1:19" s="118" customFormat="1" ht="16.149999999999999" customHeight="1">
      <c r="A108" s="120" t="s">
        <v>319</v>
      </c>
      <c r="B108" s="131">
        <v>154.02000000000001</v>
      </c>
      <c r="C108" s="119">
        <v>185.83409</v>
      </c>
      <c r="D108" s="119">
        <v>150.80000000000001</v>
      </c>
      <c r="E108" s="119">
        <v>150.64366000000001</v>
      </c>
      <c r="F108" s="119">
        <v>153.87</v>
      </c>
      <c r="G108" s="119">
        <v>192.28994</v>
      </c>
      <c r="H108" s="119">
        <v>224.0188</v>
      </c>
      <c r="I108" s="119">
        <v>253.07</v>
      </c>
      <c r="J108" s="119">
        <v>217.39064999999999</v>
      </c>
      <c r="K108" s="119">
        <v>247.15</v>
      </c>
      <c r="L108" s="119">
        <v>175.79397</v>
      </c>
      <c r="M108" s="119">
        <v>108.49414999999999</v>
      </c>
      <c r="N108" s="119">
        <v>100.93</v>
      </c>
      <c r="O108" s="119">
        <v>237.34864999999999</v>
      </c>
      <c r="P108" s="119">
        <v>454.46478000000002</v>
      </c>
      <c r="Q108" s="119">
        <v>429.36754999999999</v>
      </c>
      <c r="R108" s="119">
        <v>419.16571000000005</v>
      </c>
      <c r="S108" s="119">
        <v>419.16571000000005</v>
      </c>
    </row>
    <row r="109" spans="1:19" s="118" customFormat="1" ht="16.149999999999999" customHeight="1">
      <c r="A109" s="120" t="s">
        <v>318</v>
      </c>
      <c r="B109" s="131">
        <v>108.97</v>
      </c>
      <c r="C109" s="119">
        <v>134.44057000000001</v>
      </c>
      <c r="D109" s="119">
        <v>133.58000000000001</v>
      </c>
      <c r="E109" s="119">
        <v>133.74634</v>
      </c>
      <c r="F109" s="119">
        <v>144.63999999999999</v>
      </c>
      <c r="G109" s="119">
        <v>267.27566000000002</v>
      </c>
      <c r="H109" s="119">
        <v>311.85730999999998</v>
      </c>
      <c r="I109" s="119">
        <v>336.12</v>
      </c>
      <c r="J109" s="119">
        <v>374.05336</v>
      </c>
      <c r="K109" s="119">
        <v>399.61</v>
      </c>
      <c r="L109" s="119">
        <v>149.69999999999999</v>
      </c>
      <c r="M109" s="119">
        <v>122.46872999999999</v>
      </c>
      <c r="N109" s="119">
        <v>120.56</v>
      </c>
      <c r="O109" s="119">
        <v>118.14138</v>
      </c>
      <c r="P109" s="119">
        <v>119.11744999999999</v>
      </c>
      <c r="Q109" s="119">
        <v>124.41330000000001</v>
      </c>
      <c r="R109" s="119">
        <v>129.25667999999999</v>
      </c>
      <c r="S109" s="119">
        <v>130.11591999999999</v>
      </c>
    </row>
    <row r="110" spans="1:19" s="118" customFormat="1" ht="16.149999999999999" customHeight="1">
      <c r="A110" s="120" t="s">
        <v>317</v>
      </c>
      <c r="B110" s="131">
        <v>10.15</v>
      </c>
      <c r="C110" s="119">
        <v>10.39423</v>
      </c>
      <c r="D110" s="119">
        <v>9.83</v>
      </c>
      <c r="E110" s="119">
        <v>10.730450000000001</v>
      </c>
      <c r="F110" s="119">
        <v>11.77</v>
      </c>
      <c r="G110" s="119">
        <v>11.855399999999999</v>
      </c>
      <c r="H110" s="119">
        <v>12.96613</v>
      </c>
      <c r="I110" s="119">
        <v>14.02</v>
      </c>
      <c r="J110" s="119">
        <v>14.14913</v>
      </c>
      <c r="K110" s="119">
        <v>13.55</v>
      </c>
      <c r="L110" s="119">
        <v>13.45</v>
      </c>
      <c r="M110" s="119"/>
      <c r="N110" s="119"/>
      <c r="O110" s="119"/>
      <c r="P110" s="119"/>
      <c r="Q110" s="119"/>
      <c r="R110" s="119"/>
      <c r="S110" s="119"/>
    </row>
    <row r="111" spans="1:19" s="118" customFormat="1" ht="16.149999999999999" customHeight="1">
      <c r="A111" s="120" t="s">
        <v>316</v>
      </c>
      <c r="B111" s="131">
        <v>3.16</v>
      </c>
      <c r="C111" s="119">
        <v>3.2281599999999999</v>
      </c>
      <c r="D111" s="119">
        <v>3.46</v>
      </c>
      <c r="E111" s="119">
        <v>3.7524699999999998</v>
      </c>
      <c r="F111" s="119">
        <v>3.93</v>
      </c>
      <c r="G111" s="119">
        <v>4.8247900000000001</v>
      </c>
      <c r="H111" s="119">
        <v>5.4399899999999999</v>
      </c>
      <c r="I111" s="119">
        <v>7.29</v>
      </c>
      <c r="J111" s="119">
        <v>6.9155699999999998</v>
      </c>
      <c r="K111" s="119">
        <v>6.37</v>
      </c>
      <c r="L111" s="119">
        <v>7.3761099999999997</v>
      </c>
      <c r="M111" s="119">
        <v>5.3690800000000003</v>
      </c>
      <c r="N111" s="119">
        <v>5.49</v>
      </c>
      <c r="O111" s="119">
        <v>4.7907400000000004</v>
      </c>
      <c r="P111" s="119">
        <v>3.3721799999999997</v>
      </c>
      <c r="Q111" s="119">
        <v>3.3725499999999999</v>
      </c>
      <c r="R111" s="119">
        <v>3.5633400000000002</v>
      </c>
      <c r="S111" s="119">
        <v>3.5633400000000002</v>
      </c>
    </row>
    <row r="112" spans="1:19" s="118" customFormat="1" ht="16.149999999999999" customHeight="1">
      <c r="A112" s="120" t="s">
        <v>315</v>
      </c>
      <c r="B112" s="131">
        <v>103.71</v>
      </c>
      <c r="C112" s="119">
        <v>109.45715</v>
      </c>
      <c r="D112" s="119">
        <v>112.98</v>
      </c>
      <c r="E112" s="119">
        <v>116.65385999999999</v>
      </c>
      <c r="F112" s="119">
        <v>122.69</v>
      </c>
      <c r="G112" s="119">
        <v>125.55109</v>
      </c>
      <c r="H112" s="119">
        <v>128.87812</v>
      </c>
      <c r="I112" s="119">
        <v>129.09</v>
      </c>
      <c r="J112" s="119">
        <v>125.72789999999999</v>
      </c>
      <c r="K112" s="119">
        <v>116.28</v>
      </c>
      <c r="L112" s="119">
        <v>108.61</v>
      </c>
      <c r="M112" s="119">
        <v>100.09881</v>
      </c>
      <c r="N112" s="119">
        <v>99.8</v>
      </c>
      <c r="O112" s="119">
        <v>95.872309999999999</v>
      </c>
      <c r="P112" s="119">
        <v>96.133920000000003</v>
      </c>
      <c r="Q112" s="119">
        <v>95.319180000000003</v>
      </c>
      <c r="R112" s="119">
        <v>98.427710000000005</v>
      </c>
      <c r="S112" s="119">
        <v>97.568470000000005</v>
      </c>
    </row>
    <row r="113" spans="1:19" s="118" customFormat="1" ht="16.149999999999999" customHeight="1">
      <c r="A113" s="120" t="s">
        <v>314</v>
      </c>
      <c r="B113" s="131">
        <v>6.42</v>
      </c>
      <c r="C113" s="119">
        <v>7.7191899999999993</v>
      </c>
      <c r="D113" s="119">
        <v>8.66</v>
      </c>
      <c r="E113" s="119">
        <v>10.97569</v>
      </c>
      <c r="F113" s="119">
        <v>25.81</v>
      </c>
      <c r="G113" s="119">
        <v>41.381639999999997</v>
      </c>
      <c r="H113" s="119">
        <v>58.602640000000001</v>
      </c>
      <c r="I113" s="119">
        <v>62.39</v>
      </c>
      <c r="J113" s="119">
        <v>61.799930000000003</v>
      </c>
      <c r="K113" s="119">
        <v>70.08</v>
      </c>
      <c r="L113" s="119">
        <v>169.8</v>
      </c>
      <c r="M113" s="119">
        <v>53.257599999999996</v>
      </c>
      <c r="N113" s="119">
        <v>53.66</v>
      </c>
      <c r="O113" s="119">
        <v>5.2471399999999999</v>
      </c>
      <c r="P113" s="119">
        <v>5.1132200000000001</v>
      </c>
      <c r="Q113" s="119">
        <v>4.6528799999999997</v>
      </c>
      <c r="R113" s="119">
        <v>4.5365000000000002</v>
      </c>
      <c r="S113" s="119">
        <v>4.5365000000000002</v>
      </c>
    </row>
    <row r="114" spans="1:19" s="118" customFormat="1" ht="16.149999999999999" customHeight="1">
      <c r="A114" s="120" t="s">
        <v>313</v>
      </c>
      <c r="B114" s="131">
        <v>4.92</v>
      </c>
      <c r="C114" s="119">
        <v>4.9742199999999999</v>
      </c>
      <c r="D114" s="119">
        <v>4.9000000000000004</v>
      </c>
      <c r="E114" s="119">
        <v>5.0705799999999996</v>
      </c>
      <c r="F114" s="119">
        <v>5.6</v>
      </c>
      <c r="G114" s="119">
        <v>6.2057200000000003</v>
      </c>
      <c r="H114" s="119">
        <v>6.5831</v>
      </c>
      <c r="I114" s="119">
        <v>6.76</v>
      </c>
      <c r="J114" s="119">
        <v>6.6252299999999993</v>
      </c>
      <c r="K114" s="119">
        <v>6.71</v>
      </c>
      <c r="L114" s="119">
        <v>5.73</v>
      </c>
      <c r="M114" s="119"/>
      <c r="N114" s="119"/>
      <c r="O114" s="119"/>
      <c r="P114" s="119"/>
      <c r="Q114" s="119"/>
      <c r="R114" s="119"/>
      <c r="S114" s="119"/>
    </row>
    <row r="115" spans="1:19" s="118" customFormat="1" ht="16.149999999999999" customHeight="1">
      <c r="A115" s="120" t="s">
        <v>312</v>
      </c>
      <c r="B115" s="131">
        <v>212.18</v>
      </c>
      <c r="C115" s="119">
        <v>0.10299999999999999</v>
      </c>
      <c r="D115" s="119">
        <v>0.1</v>
      </c>
      <c r="E115" s="119">
        <v>0.16974</v>
      </c>
      <c r="F115" s="119">
        <v>0.37</v>
      </c>
      <c r="G115" s="119">
        <v>0.61019000000000001</v>
      </c>
      <c r="H115" s="119">
        <v>0.72472000000000003</v>
      </c>
      <c r="I115" s="119">
        <v>0.74</v>
      </c>
      <c r="J115" s="119">
        <v>1.19428</v>
      </c>
      <c r="K115" s="119">
        <v>1.55</v>
      </c>
      <c r="L115" s="119">
        <v>1.91069</v>
      </c>
      <c r="M115" s="119">
        <v>2.1986500000000002</v>
      </c>
      <c r="N115" s="119">
        <v>2.38</v>
      </c>
      <c r="O115" s="119">
        <v>2.4910199999999998</v>
      </c>
      <c r="P115" s="119">
        <v>2.4910199999999998</v>
      </c>
      <c r="Q115" s="119">
        <v>2.61511</v>
      </c>
      <c r="R115" s="119">
        <v>2.5750300000000004</v>
      </c>
      <c r="S115" s="119">
        <v>2.5750300000000004</v>
      </c>
    </row>
    <row r="116" spans="1:19" s="118" customFormat="1" ht="16.149999999999999" customHeight="1">
      <c r="A116" s="120" t="s">
        <v>311</v>
      </c>
      <c r="B116" s="131">
        <v>8.7200000000000006</v>
      </c>
      <c r="C116" s="119">
        <v>8.8701699999999999</v>
      </c>
      <c r="D116" s="119">
        <v>8.98</v>
      </c>
      <c r="E116" s="119">
        <v>9.0836600000000001</v>
      </c>
      <c r="F116" s="119">
        <v>9.1300000000000008</v>
      </c>
      <c r="G116" s="119">
        <v>11.618980000000001</v>
      </c>
      <c r="H116" s="119">
        <v>10.961180000000001</v>
      </c>
      <c r="I116" s="119">
        <v>9.77</v>
      </c>
      <c r="J116" s="119">
        <v>108.09048</v>
      </c>
      <c r="K116" s="119">
        <v>107.66</v>
      </c>
      <c r="L116" s="119">
        <v>45.00817</v>
      </c>
      <c r="M116" s="119"/>
      <c r="N116" s="119"/>
      <c r="O116" s="119"/>
      <c r="P116" s="119"/>
      <c r="Q116" s="119"/>
      <c r="R116" s="119"/>
      <c r="S116" s="119"/>
    </row>
    <row r="117" spans="1:19" s="118" customFormat="1" ht="16.149999999999999" customHeight="1">
      <c r="A117" s="120" t="s">
        <v>310</v>
      </c>
      <c r="B117" s="131">
        <v>18.190000000000001</v>
      </c>
      <c r="C117" s="119">
        <v>18.678830000000001</v>
      </c>
      <c r="D117" s="119">
        <v>19.39</v>
      </c>
      <c r="E117" s="119">
        <v>18.967849999999999</v>
      </c>
      <c r="F117" s="119">
        <v>19.77</v>
      </c>
      <c r="G117" s="119">
        <v>21.16377</v>
      </c>
      <c r="H117" s="119">
        <v>21.814530000000001</v>
      </c>
      <c r="I117" s="119">
        <v>21.87</v>
      </c>
      <c r="J117" s="119">
        <v>19.321069999999999</v>
      </c>
      <c r="K117" s="119">
        <v>16.54</v>
      </c>
      <c r="L117" s="119">
        <v>13.308549999999999</v>
      </c>
      <c r="M117" s="119">
        <v>1.85</v>
      </c>
      <c r="N117" s="119">
        <v>2.37</v>
      </c>
      <c r="O117" s="119">
        <v>2.4</v>
      </c>
      <c r="P117" s="119">
        <v>2.6</v>
      </c>
      <c r="Q117" s="119">
        <v>2.1120000000000001</v>
      </c>
      <c r="R117" s="119"/>
      <c r="S117" s="119"/>
    </row>
    <row r="118" spans="1:19" s="118" customFormat="1" ht="16.149999999999999" customHeight="1">
      <c r="A118" s="120" t="s">
        <v>309</v>
      </c>
      <c r="B118" s="131"/>
      <c r="C118" s="119"/>
      <c r="D118" s="119"/>
      <c r="E118" s="119"/>
      <c r="F118" s="119"/>
      <c r="G118" s="119"/>
      <c r="H118" s="119"/>
      <c r="I118" s="119"/>
      <c r="J118" s="119"/>
      <c r="K118" s="119"/>
      <c r="L118" s="119"/>
      <c r="M118" s="119">
        <v>52.338769999999997</v>
      </c>
      <c r="N118" s="119">
        <v>53.12</v>
      </c>
      <c r="O118" s="119">
        <v>77.659229999999994</v>
      </c>
      <c r="P118" s="119">
        <v>42.001660000000001</v>
      </c>
      <c r="Q118" s="119">
        <v>89.559039999999996</v>
      </c>
      <c r="R118" s="119">
        <v>100.05872000000001</v>
      </c>
      <c r="S118" s="119">
        <v>100.05872000000001</v>
      </c>
    </row>
    <row r="119" spans="1:19" s="118" customFormat="1" ht="16.149999999999999" customHeight="1">
      <c r="A119" s="120" t="s">
        <v>308</v>
      </c>
      <c r="B119" s="131">
        <v>690.63</v>
      </c>
      <c r="C119" s="119">
        <v>749.97963000000004</v>
      </c>
      <c r="D119" s="119">
        <v>819.06</v>
      </c>
      <c r="E119" s="119">
        <v>905.04681999999991</v>
      </c>
      <c r="F119" s="119">
        <v>984.5</v>
      </c>
      <c r="G119" s="119">
        <v>1227.0469000000001</v>
      </c>
      <c r="H119" s="119">
        <v>1334.7034799999999</v>
      </c>
      <c r="I119" s="119">
        <v>1344.13</v>
      </c>
      <c r="J119" s="119">
        <v>1395.51847</v>
      </c>
      <c r="K119" s="119">
        <v>1431.47</v>
      </c>
      <c r="L119" s="119">
        <v>1270.0485200000001</v>
      </c>
      <c r="M119" s="119">
        <v>1222.1661100000001</v>
      </c>
      <c r="N119" s="119">
        <v>1467.15</v>
      </c>
      <c r="O119" s="119">
        <v>1469.5955899999999</v>
      </c>
      <c r="P119" s="119">
        <v>1472.39788</v>
      </c>
      <c r="Q119" s="119">
        <v>1523.3528799999999</v>
      </c>
      <c r="R119" s="119">
        <v>1574.87904</v>
      </c>
      <c r="S119" s="119">
        <v>1574.87904</v>
      </c>
    </row>
    <row r="120" spans="1:19" s="118" customFormat="1" ht="16.149999999999999" customHeight="1">
      <c r="A120" s="120" t="s">
        <v>307</v>
      </c>
      <c r="B120" s="131">
        <v>8.66</v>
      </c>
      <c r="C120" s="119">
        <v>7.5801600000000002</v>
      </c>
      <c r="D120" s="119">
        <v>7.12</v>
      </c>
      <c r="E120" s="119">
        <v>7.0654200000000005</v>
      </c>
      <c r="F120" s="119">
        <v>7.25</v>
      </c>
      <c r="G120" s="119">
        <v>6.5094700000000003</v>
      </c>
      <c r="H120" s="119">
        <v>6.4512799999999997</v>
      </c>
      <c r="I120" s="119">
        <v>7.56</v>
      </c>
      <c r="J120" s="119">
        <v>6.8171099999999996</v>
      </c>
      <c r="K120" s="119">
        <v>6.13</v>
      </c>
      <c r="L120" s="119">
        <v>5.6370399999999998</v>
      </c>
      <c r="M120" s="119">
        <v>5.44604</v>
      </c>
      <c r="N120" s="119">
        <v>7.28</v>
      </c>
      <c r="O120" s="119">
        <v>7.3997400000000004</v>
      </c>
      <c r="P120" s="119">
        <v>32.09881</v>
      </c>
      <c r="Q120" s="119"/>
      <c r="R120" s="119"/>
      <c r="S120" s="119"/>
    </row>
    <row r="121" spans="1:19" s="118" customFormat="1" ht="16.149999999999999" customHeight="1" thickBot="1">
      <c r="A121" s="120" t="s">
        <v>306</v>
      </c>
      <c r="B121" s="131">
        <v>5.74</v>
      </c>
      <c r="C121" s="119">
        <v>5.7577499999999997</v>
      </c>
      <c r="D121" s="119">
        <v>6.13</v>
      </c>
      <c r="E121" s="119">
        <v>6.39595</v>
      </c>
      <c r="F121" s="119">
        <v>12.73</v>
      </c>
      <c r="G121" s="119">
        <v>18.650230000000001</v>
      </c>
      <c r="H121" s="119">
        <v>20.25881</v>
      </c>
      <c r="I121" s="119">
        <v>21.02</v>
      </c>
      <c r="J121" s="119">
        <v>20.9054</v>
      </c>
      <c r="K121" s="119">
        <v>24.91</v>
      </c>
      <c r="L121" s="119">
        <v>6.9615799999999997</v>
      </c>
      <c r="M121" s="119"/>
      <c r="N121" s="119"/>
      <c r="O121" s="119"/>
      <c r="P121" s="119"/>
      <c r="Q121" s="119"/>
      <c r="R121" s="119"/>
      <c r="S121" s="119"/>
    </row>
    <row r="122" spans="1:19" s="118" customFormat="1" ht="16.149999999999999" customHeight="1" thickBot="1">
      <c r="A122" s="130" t="s">
        <v>305</v>
      </c>
      <c r="B122" s="129">
        <f t="shared" ref="B122:S122" si="13">SUM(B105:B121)</f>
        <v>1670.42</v>
      </c>
      <c r="C122" s="129">
        <f t="shared" si="13"/>
        <v>1498.52883</v>
      </c>
      <c r="D122" s="129">
        <f t="shared" si="13"/>
        <v>1524.6399999999999</v>
      </c>
      <c r="E122" s="129">
        <f t="shared" si="13"/>
        <v>1619.5434299999999</v>
      </c>
      <c r="F122" s="129">
        <f t="shared" si="13"/>
        <v>1935.3399999999997</v>
      </c>
      <c r="G122" s="129">
        <f t="shared" si="13"/>
        <v>2485.4801200000002</v>
      </c>
      <c r="H122" s="129">
        <f t="shared" si="13"/>
        <v>2932.6246700000006</v>
      </c>
      <c r="I122" s="129">
        <f t="shared" si="13"/>
        <v>2987.64</v>
      </c>
      <c r="J122" s="129">
        <f t="shared" si="13"/>
        <v>3092.08826</v>
      </c>
      <c r="K122" s="129">
        <f t="shared" si="13"/>
        <v>2843.4299999999994</v>
      </c>
      <c r="L122" s="129">
        <f t="shared" si="13"/>
        <v>2219.5346300000006</v>
      </c>
      <c r="M122" s="129">
        <f t="shared" si="13"/>
        <v>1944.85276</v>
      </c>
      <c r="N122" s="129">
        <f t="shared" si="13"/>
        <v>2175.0000000000005</v>
      </c>
      <c r="O122" s="129">
        <f t="shared" si="13"/>
        <v>2272.8628799999997</v>
      </c>
      <c r="P122" s="129">
        <f t="shared" si="13"/>
        <v>2484.2808099999997</v>
      </c>
      <c r="Q122" s="129">
        <f t="shared" si="13"/>
        <v>2523.8161999999998</v>
      </c>
      <c r="R122" s="129">
        <f t="shared" si="13"/>
        <v>2581.9047300000002</v>
      </c>
      <c r="S122" s="129">
        <f t="shared" si="13"/>
        <v>2540.6828</v>
      </c>
    </row>
    <row r="123" spans="1:19" s="118" customFormat="1" ht="16.149999999999999" customHeight="1">
      <c r="A123" s="120" t="s">
        <v>304</v>
      </c>
      <c r="B123" s="119">
        <v>4</v>
      </c>
      <c r="C123" s="119">
        <v>4</v>
      </c>
      <c r="D123" s="119">
        <v>26</v>
      </c>
      <c r="E123" s="119">
        <v>39</v>
      </c>
      <c r="F123" s="119">
        <v>42.16</v>
      </c>
      <c r="G123" s="119">
        <v>45.91</v>
      </c>
      <c r="H123" s="119">
        <v>47.24</v>
      </c>
      <c r="I123" s="119">
        <v>45.8</v>
      </c>
      <c r="J123" s="119">
        <v>51.489170000000001</v>
      </c>
      <c r="K123" s="119">
        <v>49.25</v>
      </c>
      <c r="L123" s="119">
        <v>44.94744</v>
      </c>
      <c r="S123" s="131">
        <v>34.754649999999998</v>
      </c>
    </row>
    <row r="124" spans="1:19" s="118" customFormat="1" ht="16.149999999999999" customHeight="1">
      <c r="A124" s="120" t="s">
        <v>303</v>
      </c>
      <c r="B124" s="131">
        <v>44.06</v>
      </c>
      <c r="C124" s="119">
        <v>46.055080000000004</v>
      </c>
      <c r="D124" s="119">
        <v>46.84</v>
      </c>
      <c r="E124" s="119">
        <v>46.749940000000002</v>
      </c>
      <c r="F124" s="119">
        <v>50.71</v>
      </c>
      <c r="G124" s="119">
        <v>57.011760000000002</v>
      </c>
      <c r="H124" s="119">
        <v>63.309609999999999</v>
      </c>
      <c r="I124" s="119">
        <v>65.25</v>
      </c>
      <c r="J124" s="119">
        <v>52.815100000000001</v>
      </c>
      <c r="K124" s="119">
        <v>42.47</v>
      </c>
      <c r="L124" s="119">
        <v>40.543169999999996</v>
      </c>
      <c r="M124" s="119">
        <v>31.080159999999999</v>
      </c>
      <c r="N124" s="119">
        <v>26.67</v>
      </c>
      <c r="O124" s="119">
        <v>25.552820000000001</v>
      </c>
      <c r="P124" s="119">
        <v>26.941779999999998</v>
      </c>
      <c r="Q124" s="119">
        <v>26.426089999999999</v>
      </c>
      <c r="R124" s="119">
        <v>27.66489</v>
      </c>
      <c r="S124" s="119">
        <v>27.694890000000001</v>
      </c>
    </row>
    <row r="125" spans="1:19" s="118" customFormat="1" ht="16.149999999999999" customHeight="1">
      <c r="A125" s="120" t="s">
        <v>302</v>
      </c>
      <c r="B125" s="131">
        <v>52.98</v>
      </c>
      <c r="C125" s="119">
        <v>53.871629999999996</v>
      </c>
      <c r="D125" s="119">
        <v>61.14</v>
      </c>
      <c r="E125" s="119">
        <v>67.358360000000005</v>
      </c>
      <c r="F125" s="119">
        <v>76.8</v>
      </c>
      <c r="G125" s="119">
        <v>100.47154999999999</v>
      </c>
      <c r="H125" s="119">
        <v>106.01300000000001</v>
      </c>
      <c r="I125" s="119">
        <v>111.21</v>
      </c>
      <c r="J125" s="119">
        <v>97.36930000000001</v>
      </c>
      <c r="K125" s="119">
        <v>77.05</v>
      </c>
      <c r="L125" s="119">
        <v>60.839930000000003</v>
      </c>
      <c r="M125" s="119">
        <v>47.208769999999994</v>
      </c>
      <c r="N125" s="119">
        <v>43.21</v>
      </c>
      <c r="O125" s="119">
        <v>42.63899</v>
      </c>
      <c r="P125" s="119">
        <v>43.551470000000002</v>
      </c>
      <c r="Q125" s="119">
        <v>43.682139999999997</v>
      </c>
      <c r="R125" s="119">
        <v>47.053800000000003</v>
      </c>
      <c r="S125" s="119">
        <v>47.053800000000003</v>
      </c>
    </row>
    <row r="126" spans="1:19" s="118" customFormat="1" ht="16.149999999999999" customHeight="1">
      <c r="A126" s="120" t="s">
        <v>301</v>
      </c>
      <c r="B126" s="131">
        <v>186.28</v>
      </c>
      <c r="C126" s="119">
        <v>207.56063</v>
      </c>
      <c r="D126" s="119">
        <v>232.63</v>
      </c>
      <c r="E126" s="119">
        <v>234.58517999999998</v>
      </c>
      <c r="F126" s="119">
        <v>248.16</v>
      </c>
      <c r="G126" s="119">
        <v>249.12045000000001</v>
      </c>
      <c r="H126" s="119">
        <v>259.87036999999998</v>
      </c>
      <c r="I126" s="119">
        <v>254.56</v>
      </c>
      <c r="J126" s="119">
        <v>229.65071</v>
      </c>
      <c r="K126" s="119">
        <v>213.72</v>
      </c>
      <c r="L126" s="119">
        <v>177.47494</v>
      </c>
      <c r="M126" s="119">
        <v>136.72845000000001</v>
      </c>
      <c r="N126" s="119">
        <v>131.72</v>
      </c>
      <c r="O126" s="119">
        <v>142.71912</v>
      </c>
      <c r="P126" s="119">
        <v>151.42194000000001</v>
      </c>
      <c r="Q126" s="119">
        <v>151.58713</v>
      </c>
      <c r="R126" s="119">
        <v>158.13773</v>
      </c>
      <c r="S126" s="119">
        <v>158.13773</v>
      </c>
    </row>
    <row r="127" spans="1:19" s="118" customFormat="1" ht="16.149999999999999" customHeight="1">
      <c r="A127" s="120" t="s">
        <v>300</v>
      </c>
      <c r="B127" s="131">
        <v>3.33</v>
      </c>
      <c r="C127" s="119">
        <v>3.4497499999999999</v>
      </c>
      <c r="D127" s="119">
        <v>3.61</v>
      </c>
      <c r="E127" s="119">
        <v>3.62269</v>
      </c>
      <c r="F127" s="119">
        <v>4.05</v>
      </c>
      <c r="G127" s="119">
        <v>5.9721700000000002</v>
      </c>
      <c r="H127" s="119">
        <v>6.4103899999999996</v>
      </c>
      <c r="I127" s="119">
        <v>6.26</v>
      </c>
      <c r="J127" s="119">
        <v>4.8332499999999996</v>
      </c>
      <c r="K127" s="119">
        <v>4.8</v>
      </c>
      <c r="L127" s="119">
        <v>3.89262</v>
      </c>
      <c r="M127" s="119">
        <v>2.4032100000000001</v>
      </c>
      <c r="N127" s="119">
        <v>2.19</v>
      </c>
      <c r="O127" s="119">
        <v>2.00969</v>
      </c>
      <c r="P127" s="119">
        <v>2.2023200000000003</v>
      </c>
      <c r="Q127" s="119">
        <v>2.0226500000000001</v>
      </c>
      <c r="R127" s="119">
        <v>2.1967800000000004</v>
      </c>
      <c r="S127" s="119">
        <v>2.1967800000000004</v>
      </c>
    </row>
    <row r="128" spans="1:19" s="118" customFormat="1" ht="16.149999999999999" customHeight="1">
      <c r="A128" s="120" t="s">
        <v>299</v>
      </c>
      <c r="B128" s="131">
        <v>20.83</v>
      </c>
      <c r="C128" s="119">
        <v>34.398780000000002</v>
      </c>
      <c r="D128" s="119">
        <v>28.06</v>
      </c>
      <c r="E128" s="119">
        <v>18.469390000000001</v>
      </c>
      <c r="F128" s="119">
        <v>27.08</v>
      </c>
      <c r="G128" s="119">
        <v>33.568829999999998</v>
      </c>
      <c r="H128" s="119">
        <v>51.768219999999999</v>
      </c>
      <c r="I128" s="119">
        <v>48.12</v>
      </c>
      <c r="J128" s="119">
        <v>57.718629999999997</v>
      </c>
      <c r="K128" s="119">
        <v>54.16</v>
      </c>
      <c r="L128" s="119">
        <v>24.573370000000001</v>
      </c>
      <c r="M128" s="119">
        <v>9.9887499999999996</v>
      </c>
      <c r="N128" s="119">
        <v>10.19</v>
      </c>
      <c r="O128" s="119">
        <v>9.6218699999999995</v>
      </c>
      <c r="P128" s="119">
        <v>10.61242</v>
      </c>
      <c r="Q128" s="119">
        <v>8.9988100000000006</v>
      </c>
      <c r="R128" s="119">
        <v>9.7399699999999996</v>
      </c>
      <c r="S128" s="119">
        <v>9.4899699999999996</v>
      </c>
    </row>
    <row r="129" spans="1:19" s="118" customFormat="1" ht="16.149999999999999" customHeight="1">
      <c r="A129" s="120" t="s">
        <v>298</v>
      </c>
      <c r="B129" s="131">
        <v>13.4</v>
      </c>
      <c r="C129" s="119">
        <v>13.814500000000001</v>
      </c>
      <c r="D129" s="119">
        <v>14.5</v>
      </c>
      <c r="E129" s="119">
        <v>14.7799</v>
      </c>
      <c r="F129" s="119">
        <v>19.36</v>
      </c>
      <c r="G129" s="119">
        <v>18.520520000000001</v>
      </c>
      <c r="H129" s="119">
        <v>17.907109999999999</v>
      </c>
      <c r="I129" s="119">
        <v>16.010000000000002</v>
      </c>
      <c r="J129" s="119">
        <v>14.410309999999999</v>
      </c>
      <c r="K129" s="119">
        <v>14.62</v>
      </c>
      <c r="L129" s="119">
        <v>11.09539</v>
      </c>
      <c r="M129" s="119">
        <v>7.6158400000000004</v>
      </c>
      <c r="N129" s="119">
        <v>7.35</v>
      </c>
      <c r="O129" s="119">
        <v>7.3956799999999996</v>
      </c>
      <c r="P129" s="119">
        <v>7.4656799999999999</v>
      </c>
      <c r="Q129" s="119">
        <v>8.4216499999999996</v>
      </c>
      <c r="R129" s="119">
        <v>8.17178</v>
      </c>
      <c r="S129" s="119">
        <v>8.2284299999999995</v>
      </c>
    </row>
    <row r="130" spans="1:19" s="118" customFormat="1" ht="16.149999999999999" customHeight="1">
      <c r="A130" s="120" t="s">
        <v>297</v>
      </c>
      <c r="B130" s="131"/>
      <c r="C130" s="119"/>
      <c r="D130" s="119"/>
      <c r="E130" s="119"/>
      <c r="F130" s="119"/>
      <c r="G130" s="119"/>
      <c r="H130" s="119"/>
      <c r="I130" s="119">
        <v>27.08</v>
      </c>
      <c r="J130" s="119">
        <v>29.552</v>
      </c>
      <c r="K130" s="119">
        <v>30.8</v>
      </c>
      <c r="L130" s="119">
        <v>29.481759999999998</v>
      </c>
      <c r="M130" s="119">
        <v>14.467049999999999</v>
      </c>
      <c r="N130" s="119">
        <v>14.14</v>
      </c>
      <c r="O130" s="119">
        <v>13.9329</v>
      </c>
      <c r="P130" s="119">
        <v>13.997540000000001</v>
      </c>
      <c r="Q130" s="119">
        <v>13.55147</v>
      </c>
      <c r="R130" s="119">
        <v>14.0786</v>
      </c>
      <c r="S130" s="119">
        <v>14.0786</v>
      </c>
    </row>
    <row r="131" spans="1:19" s="118" customFormat="1" ht="16.149999999999999" customHeight="1">
      <c r="A131" s="120" t="s">
        <v>296</v>
      </c>
      <c r="B131" s="131">
        <v>89.22</v>
      </c>
      <c r="C131" s="119">
        <v>86.385890000000003</v>
      </c>
      <c r="D131" s="119">
        <v>85.2</v>
      </c>
      <c r="E131" s="119">
        <v>85.227270000000004</v>
      </c>
      <c r="F131" s="119">
        <v>97.25</v>
      </c>
      <c r="G131" s="119">
        <v>104.20568</v>
      </c>
      <c r="H131" s="119">
        <v>116.14574</v>
      </c>
      <c r="I131" s="119">
        <v>125.64</v>
      </c>
      <c r="J131" s="119">
        <v>122.81707</v>
      </c>
      <c r="K131" s="119">
        <v>107.21</v>
      </c>
      <c r="L131" s="119">
        <v>89.773499999999999</v>
      </c>
      <c r="M131" s="119">
        <v>70.567890000000006</v>
      </c>
      <c r="N131" s="119">
        <v>86.16</v>
      </c>
      <c r="O131" s="119">
        <v>92.068049999999999</v>
      </c>
      <c r="P131" s="119">
        <v>94.282029999999992</v>
      </c>
      <c r="Q131" s="119">
        <v>99.660259999999994</v>
      </c>
      <c r="R131" s="119">
        <v>100.81614</v>
      </c>
      <c r="S131" s="119">
        <v>100.81614</v>
      </c>
    </row>
    <row r="132" spans="1:19" s="118" customFormat="1" ht="16.149999999999999" customHeight="1">
      <c r="A132" s="120" t="s">
        <v>295</v>
      </c>
      <c r="B132" s="131">
        <v>31.71</v>
      </c>
      <c r="C132" s="119">
        <v>32.018450000000001</v>
      </c>
      <c r="D132" s="119">
        <v>33.409999999999997</v>
      </c>
      <c r="E132" s="119">
        <v>36.337160000000004</v>
      </c>
      <c r="F132" s="119">
        <v>39.950000000000003</v>
      </c>
      <c r="G132" s="119">
        <v>43.03134</v>
      </c>
      <c r="H132" s="119">
        <v>48.787280000000003</v>
      </c>
      <c r="I132" s="119">
        <v>54.98</v>
      </c>
      <c r="J132" s="119">
        <v>54.72598</v>
      </c>
      <c r="K132" s="119">
        <v>56.23</v>
      </c>
      <c r="L132" s="119">
        <v>45.110150000000004</v>
      </c>
      <c r="M132" s="119">
        <v>36.864050000000006</v>
      </c>
      <c r="N132" s="119">
        <v>58.02</v>
      </c>
      <c r="O132" s="119">
        <v>53.159779999999998</v>
      </c>
      <c r="P132" s="119">
        <v>53.476730000000003</v>
      </c>
      <c r="Q132" s="119">
        <v>50.597209999999997</v>
      </c>
      <c r="R132" s="119">
        <v>50.942149999999998</v>
      </c>
      <c r="S132" s="119">
        <v>50.942149999999998</v>
      </c>
    </row>
    <row r="133" spans="1:19" s="118" customFormat="1" ht="16.149999999999999" customHeight="1">
      <c r="A133" s="120" t="s">
        <v>294</v>
      </c>
      <c r="B133" s="131">
        <v>53.06</v>
      </c>
      <c r="C133" s="119">
        <v>45.823749999999997</v>
      </c>
      <c r="D133" s="119">
        <v>47.47</v>
      </c>
      <c r="E133" s="119">
        <v>77.980539999999991</v>
      </c>
      <c r="F133" s="119">
        <v>79.86</v>
      </c>
      <c r="G133" s="119">
        <v>85.249319999999997</v>
      </c>
      <c r="H133" s="119">
        <v>108.14013</v>
      </c>
      <c r="I133" s="119">
        <v>124.23</v>
      </c>
      <c r="J133" s="119">
        <v>123.16611999999999</v>
      </c>
      <c r="K133" s="119">
        <v>113.48</v>
      </c>
      <c r="L133" s="119">
        <v>71.113710000000012</v>
      </c>
      <c r="M133" s="119">
        <v>55.035739999999997</v>
      </c>
      <c r="N133" s="119">
        <v>48.21</v>
      </c>
      <c r="O133" s="119">
        <v>50.694499999999998</v>
      </c>
      <c r="P133" s="119">
        <v>74.539149999999992</v>
      </c>
      <c r="Q133" s="119">
        <v>84.862660000000005</v>
      </c>
      <c r="R133" s="119">
        <v>85.683720000000008</v>
      </c>
      <c r="S133" s="119">
        <v>85.683720000000008</v>
      </c>
    </row>
    <row r="134" spans="1:19" s="118" customFormat="1" ht="16.149999999999999" customHeight="1">
      <c r="A134" s="120" t="s">
        <v>293</v>
      </c>
      <c r="B134" s="131">
        <v>124.12</v>
      </c>
      <c r="C134" s="119">
        <v>128.05521999999999</v>
      </c>
      <c r="D134" s="119">
        <v>131.5</v>
      </c>
      <c r="E134" s="119">
        <v>136.90933999999999</v>
      </c>
      <c r="F134" s="119">
        <v>146.54</v>
      </c>
      <c r="G134" s="119">
        <v>157.42473000000001</v>
      </c>
      <c r="H134" s="119">
        <v>165.61161999999999</v>
      </c>
      <c r="I134" s="119">
        <v>169.41</v>
      </c>
      <c r="J134" s="119">
        <v>165.74932999999999</v>
      </c>
      <c r="K134" s="119">
        <v>150.11000000000001</v>
      </c>
      <c r="L134" s="119">
        <v>177.45876999999999</v>
      </c>
      <c r="M134" s="119">
        <v>160.80384000000001</v>
      </c>
      <c r="N134" s="119">
        <v>146.78</v>
      </c>
      <c r="O134" s="119">
        <v>153.97309999999999</v>
      </c>
      <c r="P134" s="119">
        <v>170.31885999999997</v>
      </c>
      <c r="Q134" s="119">
        <v>171.46467999999999</v>
      </c>
      <c r="R134" s="119">
        <v>193.79726000000002</v>
      </c>
      <c r="S134" s="119">
        <v>190.04726000000002</v>
      </c>
    </row>
    <row r="135" spans="1:19" s="118" customFormat="1" ht="16.149999999999999" customHeight="1">
      <c r="A135" s="120" t="s">
        <v>292</v>
      </c>
      <c r="B135" s="131">
        <v>94.21</v>
      </c>
      <c r="C135" s="119">
        <v>97.052300000000002</v>
      </c>
      <c r="D135" s="119">
        <v>104.63</v>
      </c>
      <c r="E135" s="119">
        <v>113.14700000000001</v>
      </c>
      <c r="F135" s="119">
        <v>122.89</v>
      </c>
      <c r="G135" s="119">
        <v>136.78507999999999</v>
      </c>
      <c r="H135" s="119">
        <v>140.31867</v>
      </c>
      <c r="I135" s="119">
        <v>143.82</v>
      </c>
      <c r="J135" s="119">
        <v>122.55595</v>
      </c>
      <c r="K135" s="119">
        <v>120.96</v>
      </c>
      <c r="L135" s="119">
        <v>117.78975</v>
      </c>
      <c r="M135" s="119">
        <v>112.51452999999999</v>
      </c>
      <c r="N135" s="119">
        <v>110.31</v>
      </c>
      <c r="O135" s="119">
        <v>124.69313</v>
      </c>
      <c r="P135" s="119">
        <v>126.10358000000001</v>
      </c>
      <c r="Q135" s="119">
        <v>108.8467</v>
      </c>
      <c r="R135" s="119">
        <v>117.32867</v>
      </c>
      <c r="S135" s="119">
        <v>117.32867</v>
      </c>
    </row>
    <row r="136" spans="1:19" s="118" customFormat="1" ht="16.149999999999999" customHeight="1">
      <c r="A136" s="120" t="s">
        <v>291</v>
      </c>
      <c r="B136" s="131">
        <v>43.1</v>
      </c>
      <c r="C136" s="119">
        <v>55.462360000000004</v>
      </c>
      <c r="D136" s="119">
        <v>51.16</v>
      </c>
      <c r="E136" s="119">
        <v>53.718159999999997</v>
      </c>
      <c r="F136" s="119">
        <v>62.66</v>
      </c>
      <c r="G136" s="119">
        <v>78.374229999999997</v>
      </c>
      <c r="H136" s="119">
        <v>74.395700000000005</v>
      </c>
      <c r="I136" s="119">
        <v>77.959999999999994</v>
      </c>
      <c r="J136" s="119">
        <v>60.460550000000005</v>
      </c>
      <c r="K136" s="119">
        <v>58.8</v>
      </c>
      <c r="L136" s="119">
        <v>40.785769999999999</v>
      </c>
      <c r="M136" s="119">
        <v>31.00986</v>
      </c>
      <c r="N136" s="119">
        <v>28.14</v>
      </c>
      <c r="O136" s="119">
        <v>26.34901</v>
      </c>
      <c r="P136" s="119">
        <v>27.42014</v>
      </c>
      <c r="Q136" s="119">
        <v>27.715350000000001</v>
      </c>
      <c r="R136" s="119">
        <v>32.19641</v>
      </c>
      <c r="S136" s="119">
        <v>32.19641</v>
      </c>
    </row>
    <row r="137" spans="1:19" s="118" customFormat="1" ht="16.149999999999999" customHeight="1">
      <c r="A137" s="120" t="s">
        <v>290</v>
      </c>
      <c r="B137" s="131">
        <v>9.1300000000000008</v>
      </c>
      <c r="C137" s="119">
        <v>9.0217900000000011</v>
      </c>
      <c r="D137" s="119">
        <v>9.27</v>
      </c>
      <c r="E137" s="119">
        <v>8.446629999999999</v>
      </c>
      <c r="F137" s="119">
        <v>10.15</v>
      </c>
      <c r="G137" s="119">
        <v>12.64899</v>
      </c>
      <c r="H137" s="119">
        <v>14.51732</v>
      </c>
      <c r="I137" s="119">
        <v>13.95</v>
      </c>
      <c r="J137" s="119">
        <v>11.579879999999999</v>
      </c>
      <c r="K137" s="119">
        <v>10.35</v>
      </c>
      <c r="L137" s="119">
        <v>7.58263</v>
      </c>
      <c r="M137" s="119">
        <v>5.4235100000000003</v>
      </c>
      <c r="N137" s="119">
        <v>4.87</v>
      </c>
      <c r="O137" s="119">
        <v>4.2488700000000001</v>
      </c>
      <c r="P137" s="119">
        <v>4.4257</v>
      </c>
      <c r="Q137" s="119">
        <v>4.7552300000000001</v>
      </c>
      <c r="R137" s="119">
        <v>8.3442399999999992</v>
      </c>
      <c r="S137" s="119">
        <v>8.3442399999999992</v>
      </c>
    </row>
    <row r="138" spans="1:19" s="118" customFormat="1" ht="16.149999999999999" customHeight="1" thickBot="1">
      <c r="A138" s="136" t="s">
        <v>289</v>
      </c>
      <c r="B138" s="131"/>
      <c r="C138" s="119"/>
      <c r="D138" s="119"/>
      <c r="E138" s="119"/>
      <c r="F138" s="119"/>
      <c r="G138" s="119"/>
      <c r="H138" s="119"/>
      <c r="I138" s="119"/>
      <c r="J138" s="119"/>
      <c r="K138" s="119"/>
      <c r="L138" s="119"/>
      <c r="M138" s="119"/>
      <c r="N138" s="119"/>
      <c r="O138" s="119"/>
      <c r="P138" s="119"/>
      <c r="Q138" s="119"/>
      <c r="R138" s="119"/>
      <c r="S138" s="119"/>
    </row>
    <row r="139" spans="1:19" s="118" customFormat="1" ht="16.149999999999999" customHeight="1" thickBot="1">
      <c r="A139" s="130" t="s">
        <v>288</v>
      </c>
      <c r="B139" s="129">
        <f t="shared" ref="B139:R139" si="14">SUM(B123:B137)</f>
        <v>769.43</v>
      </c>
      <c r="C139" s="129">
        <f t="shared" si="14"/>
        <v>816.97012999999993</v>
      </c>
      <c r="D139" s="129">
        <f t="shared" si="14"/>
        <v>875.42</v>
      </c>
      <c r="E139" s="129">
        <f t="shared" si="14"/>
        <v>936.3315600000002</v>
      </c>
      <c r="F139" s="129">
        <f t="shared" si="14"/>
        <v>1027.6200000000001</v>
      </c>
      <c r="G139" s="129">
        <f t="shared" si="14"/>
        <v>1128.2946499999996</v>
      </c>
      <c r="H139" s="129">
        <f t="shared" si="14"/>
        <v>1220.43516</v>
      </c>
      <c r="I139" s="129">
        <f t="shared" si="14"/>
        <v>1284.28</v>
      </c>
      <c r="J139" s="129">
        <f t="shared" si="14"/>
        <v>1198.8933500000001</v>
      </c>
      <c r="K139" s="129">
        <f t="shared" si="14"/>
        <v>1104.01</v>
      </c>
      <c r="L139" s="129">
        <f t="shared" si="14"/>
        <v>942.46289999999999</v>
      </c>
      <c r="M139" s="129">
        <f t="shared" si="14"/>
        <v>721.71164999999996</v>
      </c>
      <c r="N139" s="129">
        <f t="shared" si="14"/>
        <v>717.96</v>
      </c>
      <c r="O139" s="129">
        <f t="shared" si="14"/>
        <v>749.05750999999998</v>
      </c>
      <c r="P139" s="129">
        <f t="shared" si="14"/>
        <v>806.75933999999984</v>
      </c>
      <c r="Q139" s="129">
        <f t="shared" si="14"/>
        <v>802.59203000000002</v>
      </c>
      <c r="R139" s="129">
        <f t="shared" si="14"/>
        <v>856.15214000000014</v>
      </c>
      <c r="S139" s="129">
        <f>SUM(S123:S138)</f>
        <v>886.99344000000008</v>
      </c>
    </row>
    <row r="140" spans="1:19" s="118" customFormat="1" ht="16.149999999999999" customHeight="1">
      <c r="A140" s="120" t="s">
        <v>287</v>
      </c>
      <c r="B140" s="131">
        <v>128.63999999999999</v>
      </c>
      <c r="C140" s="119">
        <v>127.55269</v>
      </c>
      <c r="D140" s="119">
        <v>124.49</v>
      </c>
      <c r="E140" s="119">
        <v>115.68756999999999</v>
      </c>
      <c r="F140" s="119">
        <v>142.72999999999999</v>
      </c>
      <c r="G140" s="119">
        <v>155.34664000000001</v>
      </c>
      <c r="H140" s="119">
        <v>18.760000000000002</v>
      </c>
      <c r="I140" s="119">
        <v>8.4600000000000009</v>
      </c>
      <c r="J140" s="119">
        <v>3.7124000000000001</v>
      </c>
      <c r="K140" s="119">
        <v>0</v>
      </c>
      <c r="L140" s="119"/>
      <c r="M140" s="119"/>
      <c r="N140" s="119"/>
      <c r="O140" s="119"/>
      <c r="P140" s="119"/>
      <c r="Q140" s="119"/>
      <c r="R140" s="119"/>
      <c r="S140" s="131">
        <v>84.782859999999999</v>
      </c>
    </row>
    <row r="141" spans="1:19" s="118" customFormat="1" ht="16.149999999999999" customHeight="1">
      <c r="A141" s="120" t="s">
        <v>286</v>
      </c>
      <c r="B141" s="131">
        <v>74.95</v>
      </c>
      <c r="C141" s="119">
        <v>97.098929999999996</v>
      </c>
      <c r="D141" s="119">
        <v>100.96</v>
      </c>
      <c r="E141" s="119">
        <v>107.16735</v>
      </c>
      <c r="F141" s="119">
        <v>107.76</v>
      </c>
      <c r="G141" s="119">
        <v>107.36729</v>
      </c>
      <c r="H141" s="119">
        <v>109.21232999999999</v>
      </c>
      <c r="I141" s="119">
        <v>98.99</v>
      </c>
      <c r="J141" s="119">
        <v>77.564250000000001</v>
      </c>
      <c r="K141" s="119">
        <v>53.05</v>
      </c>
      <c r="L141" s="119"/>
      <c r="M141" s="119"/>
      <c r="N141" s="119"/>
      <c r="O141" s="119"/>
      <c r="P141" s="119"/>
      <c r="Q141" s="119"/>
      <c r="R141" s="119"/>
      <c r="S141" s="119"/>
    </row>
    <row r="142" spans="1:19" s="118" customFormat="1" ht="16.149999999999999" customHeight="1">
      <c r="A142" s="120" t="s">
        <v>285</v>
      </c>
      <c r="B142" s="131">
        <v>131.5</v>
      </c>
      <c r="C142" s="119">
        <v>136.33015</v>
      </c>
      <c r="D142" s="119">
        <v>139.52000000000001</v>
      </c>
      <c r="E142" s="119">
        <v>151.79560000000001</v>
      </c>
      <c r="F142" s="119">
        <v>183.31</v>
      </c>
      <c r="G142" s="119">
        <v>199.07136</v>
      </c>
      <c r="H142" s="119">
        <v>206.7064</v>
      </c>
      <c r="I142" s="119">
        <v>193.35</v>
      </c>
      <c r="J142" s="119">
        <v>174.34005999999999</v>
      </c>
      <c r="K142" s="119">
        <v>135.32</v>
      </c>
      <c r="L142" s="119"/>
      <c r="M142" s="119"/>
      <c r="N142" s="119"/>
      <c r="O142" s="119"/>
      <c r="P142" s="119"/>
      <c r="Q142" s="119"/>
      <c r="R142" s="119"/>
      <c r="S142" s="119"/>
    </row>
    <row r="143" spans="1:19" s="118" customFormat="1" ht="16.149999999999999" customHeight="1">
      <c r="A143" s="120" t="s">
        <v>284</v>
      </c>
      <c r="B143" s="131"/>
      <c r="C143" s="119"/>
      <c r="D143" s="119"/>
      <c r="E143" s="119"/>
      <c r="F143" s="119"/>
      <c r="G143" s="119"/>
      <c r="H143" s="119"/>
      <c r="I143" s="119"/>
      <c r="J143" s="119"/>
      <c r="K143" s="119"/>
      <c r="L143" s="119">
        <v>62.899239999999999</v>
      </c>
      <c r="M143" s="119">
        <v>39.450209999999998</v>
      </c>
      <c r="N143" s="119">
        <v>30.47</v>
      </c>
      <c r="O143" s="119">
        <v>29.403210000000001</v>
      </c>
      <c r="P143" s="119">
        <v>36.962540000000004</v>
      </c>
      <c r="Q143" s="119">
        <v>49.003909999999998</v>
      </c>
      <c r="R143" s="119">
        <v>49.748290000000004</v>
      </c>
      <c r="S143" s="119">
        <v>49.748290000000004</v>
      </c>
    </row>
    <row r="144" spans="1:19" s="118" customFormat="1" ht="16.149999999999999" customHeight="1">
      <c r="A144" s="120" t="s">
        <v>283</v>
      </c>
      <c r="B144" s="131"/>
      <c r="C144" s="119"/>
      <c r="D144" s="119"/>
      <c r="E144" s="119"/>
      <c r="F144" s="119"/>
      <c r="G144" s="119"/>
      <c r="H144" s="119"/>
      <c r="I144" s="119"/>
      <c r="J144" s="119"/>
      <c r="K144" s="119"/>
      <c r="L144" s="119">
        <v>56.045449999999995</v>
      </c>
      <c r="M144" s="119">
        <v>47.356910000000006</v>
      </c>
      <c r="N144" s="119">
        <v>41.39</v>
      </c>
      <c r="O144" s="119">
        <v>40.770479999999999</v>
      </c>
      <c r="P144" s="119">
        <v>41.816660000000006</v>
      </c>
      <c r="Q144" s="119">
        <v>41.525759999999998</v>
      </c>
      <c r="R144" s="119">
        <v>42.013440000000003</v>
      </c>
      <c r="S144" s="119">
        <v>42.013440000000003</v>
      </c>
    </row>
    <row r="145" spans="1:19" s="118" customFormat="1" ht="16.149999999999999" customHeight="1">
      <c r="A145" s="120" t="s">
        <v>282</v>
      </c>
      <c r="B145" s="131">
        <v>5943.33</v>
      </c>
      <c r="C145" s="119">
        <v>6339.9414200000001</v>
      </c>
      <c r="D145" s="119">
        <v>6323.34</v>
      </c>
      <c r="E145" s="119">
        <v>6431.2153200000002</v>
      </c>
      <c r="F145" s="119">
        <v>6450.01</v>
      </c>
      <c r="G145" s="119">
        <v>6368.4666699999998</v>
      </c>
      <c r="H145" s="119">
        <v>6380.5714600000001</v>
      </c>
      <c r="I145" s="119">
        <v>6211.77</v>
      </c>
      <c r="J145" s="119">
        <v>6174.6898200000005</v>
      </c>
      <c r="K145" s="119">
        <v>6155.5</v>
      </c>
      <c r="L145" s="119">
        <v>6371.2192300000006</v>
      </c>
      <c r="M145" s="119">
        <v>6203.90769</v>
      </c>
      <c r="N145" s="119">
        <v>5815.1</v>
      </c>
      <c r="O145" s="119">
        <v>5797.1116099999999</v>
      </c>
      <c r="P145" s="119">
        <v>5899.7955400000001</v>
      </c>
      <c r="Q145" s="119">
        <v>5741.1348600000001</v>
      </c>
      <c r="R145" s="119">
        <v>5803.9800999999998</v>
      </c>
      <c r="S145" s="119">
        <v>5803.9800999999998</v>
      </c>
    </row>
    <row r="146" spans="1:19" s="118" customFormat="1" ht="16.149999999999999" customHeight="1">
      <c r="A146" s="120" t="s">
        <v>281</v>
      </c>
      <c r="B146" s="131">
        <v>64.06</v>
      </c>
      <c r="C146" s="119">
        <v>69.037940000000006</v>
      </c>
      <c r="D146" s="119">
        <v>80.88</v>
      </c>
      <c r="E146" s="119">
        <v>85.317990000000009</v>
      </c>
      <c r="F146" s="119">
        <v>88.31</v>
      </c>
      <c r="G146" s="119">
        <v>92.446939999999998</v>
      </c>
      <c r="H146" s="119">
        <v>103.47226000000001</v>
      </c>
      <c r="I146" s="119">
        <v>106.1</v>
      </c>
      <c r="J146" s="119">
        <v>79.795559999999995</v>
      </c>
      <c r="K146" s="119">
        <v>40.85</v>
      </c>
      <c r="L146" s="119">
        <v>30.84552</v>
      </c>
      <c r="M146" s="119">
        <v>28.695250000000001</v>
      </c>
      <c r="N146" s="119">
        <v>25.88</v>
      </c>
      <c r="O146" s="119">
        <v>25.125699999999998</v>
      </c>
      <c r="P146" s="119">
        <v>32.337069999999997</v>
      </c>
      <c r="Q146" s="119">
        <v>32.076740000000001</v>
      </c>
      <c r="R146" s="119">
        <v>32.555399999999999</v>
      </c>
      <c r="S146" s="119">
        <v>32.555399999999999</v>
      </c>
    </row>
    <row r="147" spans="1:19" s="118" customFormat="1" ht="16.149999999999999" customHeight="1">
      <c r="A147" s="120" t="s">
        <v>280</v>
      </c>
      <c r="B147" s="119">
        <v>181.25</v>
      </c>
      <c r="C147" s="119">
        <v>157.91892000000001</v>
      </c>
      <c r="D147" s="119">
        <v>166.58</v>
      </c>
      <c r="E147" s="119">
        <v>172.51948999999999</v>
      </c>
      <c r="F147" s="119">
        <v>193.35</v>
      </c>
      <c r="G147" s="119">
        <v>202.99601000000001</v>
      </c>
      <c r="H147" s="119">
        <v>219.34805</v>
      </c>
      <c r="I147" s="119">
        <v>228.85</v>
      </c>
      <c r="J147" s="119">
        <v>181.88932</v>
      </c>
      <c r="K147" s="119">
        <v>66.53</v>
      </c>
      <c r="L147" s="119">
        <v>52.974669999999996</v>
      </c>
      <c r="M147" s="119">
        <v>47.237660000000005</v>
      </c>
      <c r="N147" s="119">
        <v>46.58</v>
      </c>
      <c r="O147" s="119">
        <v>46.29139</v>
      </c>
      <c r="P147" s="119">
        <v>70.193889999999996</v>
      </c>
      <c r="Q147" s="119">
        <v>57.127769999999998</v>
      </c>
      <c r="R147" s="119">
        <v>59.943069999999999</v>
      </c>
      <c r="S147" s="119">
        <v>59.726570000000002</v>
      </c>
    </row>
    <row r="148" spans="1:19" s="118" customFormat="1" ht="16.149999999999999" customHeight="1">
      <c r="A148" s="120" t="s">
        <v>279</v>
      </c>
      <c r="B148" s="131">
        <v>756.7</v>
      </c>
      <c r="C148" s="119">
        <v>774.27224999999999</v>
      </c>
      <c r="D148" s="119">
        <v>805.5</v>
      </c>
      <c r="E148" s="119">
        <v>828.55028000000004</v>
      </c>
      <c r="F148" s="119">
        <v>879.57</v>
      </c>
      <c r="G148" s="119">
        <v>944.24661000000003</v>
      </c>
      <c r="H148" s="119">
        <v>1233.7461699999999</v>
      </c>
      <c r="I148" s="119">
        <v>1399.71</v>
      </c>
      <c r="J148" s="119">
        <v>1558.8274099999999</v>
      </c>
      <c r="K148" s="119">
        <v>1520.43</v>
      </c>
      <c r="L148" s="119">
        <v>1519.9763600000001</v>
      </c>
      <c r="M148" s="119">
        <v>1007.76123</v>
      </c>
      <c r="N148" s="119">
        <v>1475.58</v>
      </c>
      <c r="O148" s="119">
        <v>2346.9948199999999</v>
      </c>
      <c r="P148" s="119">
        <v>1034.34572</v>
      </c>
      <c r="Q148" s="119">
        <v>1213.7140999999999</v>
      </c>
      <c r="R148" s="119">
        <v>1233.56312</v>
      </c>
      <c r="S148" s="119">
        <v>1233.56312</v>
      </c>
    </row>
    <row r="149" spans="1:19" s="118" customFormat="1" ht="16.149999999999999" customHeight="1">
      <c r="A149" s="120" t="s">
        <v>278</v>
      </c>
      <c r="B149" s="131"/>
      <c r="C149" s="119"/>
      <c r="D149" s="119"/>
      <c r="E149" s="119"/>
      <c r="F149" s="119"/>
      <c r="G149" s="119"/>
      <c r="H149" s="119">
        <v>100</v>
      </c>
      <c r="I149" s="119">
        <v>121.66</v>
      </c>
      <c r="J149" s="119">
        <v>244.55</v>
      </c>
      <c r="K149" s="119">
        <v>200.3</v>
      </c>
      <c r="L149" s="119">
        <v>29.32939</v>
      </c>
      <c r="M149" s="119">
        <v>20.265000000000001</v>
      </c>
      <c r="N149" s="119">
        <v>19.64</v>
      </c>
      <c r="O149" s="119">
        <v>19.638999999999999</v>
      </c>
      <c r="P149" s="138">
        <v>0</v>
      </c>
      <c r="Q149" s="138"/>
      <c r="R149" s="138"/>
      <c r="S149" s="138"/>
    </row>
    <row r="150" spans="1:19" s="118" customFormat="1" ht="16.149999999999999" customHeight="1">
      <c r="A150" s="120" t="s">
        <v>277</v>
      </c>
      <c r="B150" s="131">
        <v>38.08</v>
      </c>
      <c r="C150" s="119">
        <v>61.533760000000001</v>
      </c>
      <c r="D150" s="119">
        <v>43.27</v>
      </c>
      <c r="E150" s="119">
        <v>47.962209999999999</v>
      </c>
      <c r="F150" s="119">
        <v>50.15</v>
      </c>
      <c r="G150" s="119">
        <v>51.22963</v>
      </c>
      <c r="H150" s="119">
        <v>52.35436</v>
      </c>
      <c r="I150" s="119">
        <v>52.1</v>
      </c>
      <c r="J150" s="119">
        <v>47.676480000000005</v>
      </c>
      <c r="K150" s="119">
        <v>28.69</v>
      </c>
      <c r="L150" s="119">
        <v>19.67239</v>
      </c>
      <c r="M150" s="119">
        <v>13.809620000000001</v>
      </c>
      <c r="N150" s="119">
        <v>14.9</v>
      </c>
      <c r="O150" s="119">
        <v>18.247969999999999</v>
      </c>
      <c r="P150" s="119">
        <v>18.290389999999999</v>
      </c>
      <c r="Q150" s="119">
        <v>18.5883</v>
      </c>
      <c r="R150" s="119">
        <v>19.032250000000001</v>
      </c>
      <c r="S150" s="119">
        <v>19.032250000000001</v>
      </c>
    </row>
    <row r="151" spans="1:19" s="118" customFormat="1" ht="16.149999999999999" customHeight="1">
      <c r="A151" s="120" t="s">
        <v>276</v>
      </c>
      <c r="B151" s="131">
        <v>187.01</v>
      </c>
      <c r="C151" s="119">
        <v>129.68313000000001</v>
      </c>
      <c r="D151" s="119">
        <v>153.04</v>
      </c>
      <c r="E151" s="119">
        <v>126.80428999999999</v>
      </c>
      <c r="F151" s="119">
        <v>138.33000000000001</v>
      </c>
      <c r="G151" s="119">
        <v>143.55761000000001</v>
      </c>
      <c r="H151" s="119">
        <v>136.67196999999999</v>
      </c>
      <c r="I151" s="119">
        <v>152.08000000000001</v>
      </c>
      <c r="J151" s="119">
        <v>125.11038000000001</v>
      </c>
      <c r="K151" s="119">
        <v>93.37</v>
      </c>
      <c r="L151" s="119">
        <v>59.010760000000005</v>
      </c>
      <c r="M151" s="119">
        <v>48.485120000000002</v>
      </c>
      <c r="N151" s="119">
        <v>46.29</v>
      </c>
      <c r="O151" s="119">
        <v>51.901479999999999</v>
      </c>
      <c r="P151" s="119">
        <v>53.078429999999997</v>
      </c>
      <c r="Q151" s="119">
        <v>42.896790000000003</v>
      </c>
      <c r="R151" s="119">
        <v>42.878239999999998</v>
      </c>
      <c r="S151" s="119">
        <v>42.878239999999998</v>
      </c>
    </row>
    <row r="152" spans="1:19" s="118" customFormat="1" ht="16.149999999999999" customHeight="1">
      <c r="A152" s="120" t="s">
        <v>275</v>
      </c>
      <c r="B152" s="131">
        <v>184.88</v>
      </c>
      <c r="C152" s="119">
        <v>197.21551000000002</v>
      </c>
      <c r="D152" s="119">
        <v>216.14</v>
      </c>
      <c r="E152" s="119">
        <v>229.63372000000001</v>
      </c>
      <c r="F152" s="119">
        <v>245.91</v>
      </c>
      <c r="G152" s="119">
        <v>271.57393000000002</v>
      </c>
      <c r="H152" s="119">
        <v>287.72098</v>
      </c>
      <c r="I152" s="119">
        <v>288.02</v>
      </c>
      <c r="J152" s="119">
        <v>290.96190000000001</v>
      </c>
      <c r="K152" s="119">
        <v>281.14999999999998</v>
      </c>
      <c r="L152" s="119">
        <v>252.65935000000002</v>
      </c>
      <c r="M152" s="119">
        <v>204.89729</v>
      </c>
      <c r="N152" s="119">
        <v>204.68</v>
      </c>
      <c r="O152" s="119">
        <v>204.43206000000001</v>
      </c>
      <c r="P152" s="119">
        <v>216.43206000000001</v>
      </c>
      <c r="Q152" s="119">
        <v>216.43206000000001</v>
      </c>
      <c r="R152" s="119">
        <v>216.46692000000002</v>
      </c>
      <c r="S152" s="119">
        <v>216.46692000000002</v>
      </c>
    </row>
    <row r="153" spans="1:19" s="118" customFormat="1" ht="16.149999999999999" customHeight="1" thickBot="1">
      <c r="A153" s="136" t="s">
        <v>274</v>
      </c>
      <c r="B153" s="131"/>
      <c r="C153" s="119"/>
      <c r="D153" s="119"/>
      <c r="E153" s="119"/>
      <c r="F153" s="119"/>
      <c r="G153" s="119"/>
      <c r="H153" s="119"/>
      <c r="I153" s="119"/>
      <c r="J153" s="119"/>
      <c r="K153" s="119"/>
      <c r="L153" s="119"/>
      <c r="M153" s="119"/>
      <c r="N153" s="119"/>
      <c r="O153" s="119"/>
      <c r="P153" s="119"/>
      <c r="Q153" s="119"/>
      <c r="R153" s="119"/>
      <c r="S153" s="131">
        <v>122.19446000000001</v>
      </c>
    </row>
    <row r="154" spans="1:19" s="118" customFormat="1" ht="16.149999999999999" customHeight="1" thickBot="1">
      <c r="A154" s="130" t="s">
        <v>273</v>
      </c>
      <c r="B154" s="129">
        <f t="shared" ref="B154:R154" si="15">SUM(B140:B152)</f>
        <v>7690.4000000000005</v>
      </c>
      <c r="C154" s="129">
        <f t="shared" si="15"/>
        <v>8090.5847000000012</v>
      </c>
      <c r="D154" s="129">
        <f t="shared" si="15"/>
        <v>8153.7200000000012</v>
      </c>
      <c r="E154" s="129">
        <f t="shared" si="15"/>
        <v>8296.6538199999995</v>
      </c>
      <c r="F154" s="129">
        <f t="shared" si="15"/>
        <v>8479.43</v>
      </c>
      <c r="G154" s="129">
        <f t="shared" si="15"/>
        <v>8536.3026900000004</v>
      </c>
      <c r="H154" s="129">
        <f t="shared" si="15"/>
        <v>8848.5639799999972</v>
      </c>
      <c r="I154" s="129">
        <f t="shared" si="15"/>
        <v>8861.090000000002</v>
      </c>
      <c r="J154" s="129">
        <f t="shared" si="15"/>
        <v>8959.1175800000001</v>
      </c>
      <c r="K154" s="135">
        <f t="shared" si="15"/>
        <v>8575.19</v>
      </c>
      <c r="L154" s="129">
        <f t="shared" si="15"/>
        <v>8454.6323599999996</v>
      </c>
      <c r="M154" s="129">
        <f t="shared" si="15"/>
        <v>7661.8659800000005</v>
      </c>
      <c r="N154" s="129">
        <f t="shared" si="15"/>
        <v>7720.51</v>
      </c>
      <c r="O154" s="129">
        <f t="shared" si="15"/>
        <v>8579.9177199999976</v>
      </c>
      <c r="P154" s="129">
        <f t="shared" si="15"/>
        <v>7403.2522999999992</v>
      </c>
      <c r="Q154" s="129">
        <f t="shared" si="15"/>
        <v>7412.5002900000009</v>
      </c>
      <c r="R154" s="129">
        <f t="shared" si="15"/>
        <v>7500.1808300000002</v>
      </c>
      <c r="S154" s="129">
        <f>SUM(S140:S153)</f>
        <v>7706.9416499999998</v>
      </c>
    </row>
    <row r="155" spans="1:19" s="118" customFormat="1" ht="16.149999999999999" customHeight="1">
      <c r="A155" s="134" t="s">
        <v>272</v>
      </c>
      <c r="B155" s="132"/>
      <c r="D155" s="119">
        <v>82.32</v>
      </c>
      <c r="E155" s="119">
        <v>105.10736999999999</v>
      </c>
      <c r="F155" s="119">
        <v>119.7</v>
      </c>
      <c r="G155" s="119">
        <v>123.01361</v>
      </c>
      <c r="H155" s="119">
        <v>109.66534</v>
      </c>
      <c r="I155" s="119">
        <v>112.35</v>
      </c>
      <c r="J155" s="119">
        <v>102.08177999999999</v>
      </c>
      <c r="K155" s="119">
        <v>92.69</v>
      </c>
      <c r="L155" s="119">
        <v>70.923090000000002</v>
      </c>
      <c r="M155" s="119">
        <v>63.499360000000003</v>
      </c>
      <c r="N155" s="119">
        <v>68.069999999999993</v>
      </c>
      <c r="O155" s="119">
        <v>67.725219999999993</v>
      </c>
      <c r="P155" s="119">
        <v>67.57893</v>
      </c>
      <c r="Q155" s="119">
        <v>68.21593</v>
      </c>
      <c r="R155" s="119">
        <v>67.551119999999997</v>
      </c>
      <c r="S155" s="119">
        <v>69.25909</v>
      </c>
    </row>
    <row r="156" spans="1:19" s="118" customFormat="1" ht="16.149999999999999" customHeight="1">
      <c r="A156" s="120" t="s">
        <v>271</v>
      </c>
      <c r="B156" s="131">
        <v>58.33</v>
      </c>
      <c r="C156" s="119">
        <v>117.63618</v>
      </c>
      <c r="D156" s="119">
        <v>62.41</v>
      </c>
      <c r="E156" s="119">
        <v>65.953479999999999</v>
      </c>
      <c r="F156" s="119">
        <v>52.41</v>
      </c>
      <c r="G156" s="119">
        <v>52.136859999999999</v>
      </c>
      <c r="H156" s="119">
        <v>60.445659999999997</v>
      </c>
      <c r="I156" s="119">
        <v>66.540000000000006</v>
      </c>
      <c r="J156" s="119">
        <v>66.806649999999991</v>
      </c>
      <c r="K156" s="119">
        <v>60.4</v>
      </c>
      <c r="L156" s="119">
        <v>53.995449999999998</v>
      </c>
      <c r="M156" s="119">
        <v>46.231499999999997</v>
      </c>
      <c r="N156" s="119">
        <v>45.97</v>
      </c>
      <c r="O156" s="119">
        <v>46.84975</v>
      </c>
      <c r="P156" s="119">
        <v>47.673569999999998</v>
      </c>
      <c r="Q156" s="119">
        <v>47.333080000000002</v>
      </c>
      <c r="R156" s="119">
        <v>51.444000000000003</v>
      </c>
      <c r="S156" s="119">
        <v>51.444000000000003</v>
      </c>
    </row>
    <row r="157" spans="1:19" s="118" customFormat="1" ht="16.149999999999999" customHeight="1">
      <c r="A157" s="120" t="s">
        <v>270</v>
      </c>
      <c r="B157" s="131">
        <v>10.92</v>
      </c>
      <c r="C157" s="119">
        <v>13.08217</v>
      </c>
      <c r="D157" s="119">
        <v>9.08</v>
      </c>
      <c r="E157" s="119">
        <v>9.7605900000000005</v>
      </c>
      <c r="F157" s="119">
        <v>9.58</v>
      </c>
      <c r="G157" s="119">
        <v>8.06813</v>
      </c>
      <c r="H157" s="119">
        <v>7.7979799999999999</v>
      </c>
      <c r="I157" s="119">
        <v>7.22</v>
      </c>
      <c r="J157" s="119">
        <v>7.2644399999999996</v>
      </c>
      <c r="K157" s="119">
        <v>5.52</v>
      </c>
      <c r="L157" s="119">
        <v>3.8908200000000002</v>
      </c>
      <c r="M157" s="119">
        <v>3.8383499999999997</v>
      </c>
      <c r="N157" s="119">
        <v>3.86</v>
      </c>
      <c r="O157" s="119">
        <v>3.0286499999999998</v>
      </c>
      <c r="P157" s="119">
        <v>3.6738499999999998</v>
      </c>
      <c r="Q157" s="119">
        <v>3.73936</v>
      </c>
      <c r="R157" s="119">
        <v>3.50671</v>
      </c>
      <c r="S157" s="119">
        <v>3.50671</v>
      </c>
    </row>
    <row r="158" spans="1:19" s="118" customFormat="1" ht="16.149999999999999" customHeight="1">
      <c r="A158" s="120" t="s">
        <v>269</v>
      </c>
      <c r="B158" s="131">
        <v>270.58999999999997</v>
      </c>
      <c r="C158" s="119">
        <v>270.81189000000001</v>
      </c>
      <c r="D158" s="119">
        <v>275.58</v>
      </c>
      <c r="E158" s="119">
        <v>275.5736</v>
      </c>
      <c r="F158" s="119">
        <v>275.04000000000002</v>
      </c>
      <c r="G158" s="119">
        <v>280.8922</v>
      </c>
      <c r="H158" s="119">
        <v>297.39882</v>
      </c>
      <c r="I158" s="119">
        <v>255.33</v>
      </c>
      <c r="J158" s="119">
        <v>199.23415</v>
      </c>
      <c r="K158" s="119">
        <v>179.13</v>
      </c>
      <c r="L158" s="119">
        <v>128.18769</v>
      </c>
      <c r="M158" s="119">
        <v>81.585030000000003</v>
      </c>
      <c r="N158" s="119">
        <v>81.569999999999993</v>
      </c>
      <c r="O158" s="119">
        <v>81.545609999999996</v>
      </c>
      <c r="P158" s="119">
        <v>81.625050000000002</v>
      </c>
      <c r="Q158" s="119">
        <v>64.359830000000002</v>
      </c>
      <c r="R158" s="119">
        <v>59.85277</v>
      </c>
      <c r="S158" s="119">
        <v>59.85277</v>
      </c>
    </row>
    <row r="159" spans="1:19" s="118" customFormat="1" ht="16.149999999999999" customHeight="1">
      <c r="A159" s="120" t="s">
        <v>268</v>
      </c>
      <c r="B159" s="131">
        <v>0</v>
      </c>
      <c r="C159" s="119">
        <v>0.90817999999999999</v>
      </c>
      <c r="D159" s="119">
        <v>0.69</v>
      </c>
      <c r="E159" s="119">
        <v>3.5173700000000001</v>
      </c>
      <c r="F159" s="119">
        <v>4.42</v>
      </c>
      <c r="G159" s="119">
        <v>44.550159999999998</v>
      </c>
      <c r="H159" s="119">
        <v>84.583039999999997</v>
      </c>
      <c r="I159" s="119">
        <v>517.35</v>
      </c>
      <c r="J159" s="119">
        <v>692.14982999999995</v>
      </c>
      <c r="K159" s="119">
        <v>585.96</v>
      </c>
      <c r="L159" s="119">
        <v>423.55423999999999</v>
      </c>
      <c r="M159" s="119">
        <v>425.87908000000004</v>
      </c>
      <c r="N159" s="119">
        <v>416.93</v>
      </c>
      <c r="O159" s="119">
        <v>375.58983999999998</v>
      </c>
      <c r="P159" s="119">
        <v>63.828569999999999</v>
      </c>
      <c r="Q159" s="119">
        <v>25.39967</v>
      </c>
      <c r="R159" s="119">
        <v>59.919980000000002</v>
      </c>
      <c r="S159" s="119">
        <v>59.919980000000002</v>
      </c>
    </row>
    <row r="160" spans="1:19" s="118" customFormat="1" ht="16.149999999999999" customHeight="1">
      <c r="A160" s="120" t="s">
        <v>267</v>
      </c>
      <c r="B160" s="131">
        <v>309.02</v>
      </c>
      <c r="C160" s="119">
        <v>313.41710999999998</v>
      </c>
      <c r="D160" s="119">
        <v>237.1</v>
      </c>
      <c r="E160" s="119">
        <v>342.27040999999997</v>
      </c>
      <c r="F160" s="119">
        <v>449.69</v>
      </c>
      <c r="G160" s="119">
        <v>509.08523000000002</v>
      </c>
      <c r="H160" s="119">
        <v>628.74818000000005</v>
      </c>
      <c r="I160" s="119">
        <v>754.22</v>
      </c>
      <c r="J160" s="119">
        <v>802.81889000000001</v>
      </c>
      <c r="K160" s="119">
        <v>704.5</v>
      </c>
      <c r="L160" s="119">
        <v>575.14786000000004</v>
      </c>
      <c r="M160" s="119">
        <v>467.2226</v>
      </c>
      <c r="N160" s="119">
        <v>475.44</v>
      </c>
      <c r="O160" s="119">
        <v>525.3981</v>
      </c>
      <c r="P160" s="119">
        <v>844.57330000000002</v>
      </c>
      <c r="Q160" s="119">
        <v>875.22673999999995</v>
      </c>
      <c r="R160" s="119">
        <v>871.45497999999998</v>
      </c>
      <c r="S160" s="119">
        <v>871.45497999999998</v>
      </c>
    </row>
    <row r="161" spans="1:19" s="118" customFormat="1" ht="16.149999999999999" customHeight="1">
      <c r="A161" s="120" t="s">
        <v>266</v>
      </c>
      <c r="B161" s="131"/>
      <c r="C161" s="119">
        <v>96.31</v>
      </c>
      <c r="D161" s="119">
        <v>114.6</v>
      </c>
      <c r="E161" s="119">
        <v>124.08</v>
      </c>
      <c r="F161" s="119">
        <v>160.1</v>
      </c>
      <c r="G161" s="119">
        <v>242.49</v>
      </c>
      <c r="H161" s="119">
        <v>250.102</v>
      </c>
      <c r="I161" s="119">
        <v>280.3</v>
      </c>
      <c r="J161" s="119">
        <v>260</v>
      </c>
      <c r="K161" s="119">
        <v>145.1</v>
      </c>
      <c r="L161" s="119">
        <v>41</v>
      </c>
      <c r="M161" s="119">
        <v>45</v>
      </c>
      <c r="N161" s="119">
        <v>61</v>
      </c>
      <c r="O161" s="119">
        <v>50</v>
      </c>
      <c r="P161" s="119">
        <v>50</v>
      </c>
      <c r="Q161" s="119">
        <v>33.747489999999999</v>
      </c>
      <c r="R161" s="119">
        <v>32.200000000000003</v>
      </c>
      <c r="S161" s="119">
        <v>32.200000000000003</v>
      </c>
    </row>
    <row r="162" spans="1:19" s="118" customFormat="1" ht="16.149999999999999" customHeight="1">
      <c r="A162" s="120" t="s">
        <v>265</v>
      </c>
      <c r="B162" s="131">
        <v>686.66</v>
      </c>
      <c r="C162" s="119">
        <v>692.81365000000005</v>
      </c>
      <c r="D162" s="119">
        <v>695.99</v>
      </c>
      <c r="E162" s="119">
        <v>725.43686000000002</v>
      </c>
      <c r="F162" s="119">
        <v>703.04</v>
      </c>
      <c r="G162" s="119">
        <v>733.07372999999995</v>
      </c>
      <c r="H162" s="119">
        <v>741.33444999999995</v>
      </c>
      <c r="I162" s="119">
        <v>749.56</v>
      </c>
      <c r="J162" s="119">
        <v>720.28396999999995</v>
      </c>
      <c r="K162" s="119">
        <v>657.61</v>
      </c>
      <c r="L162" s="119">
        <v>523.05833000000007</v>
      </c>
      <c r="M162" s="119">
        <v>457.73866999999996</v>
      </c>
      <c r="N162" s="119">
        <v>411.41</v>
      </c>
      <c r="O162" s="119">
        <v>345.70017999999999</v>
      </c>
      <c r="P162" s="119">
        <v>331.52977000000004</v>
      </c>
      <c r="Q162" s="119">
        <v>319.81488999999999</v>
      </c>
      <c r="R162" s="119">
        <v>290.68995000000001</v>
      </c>
      <c r="S162" s="119">
        <v>290.68995000000001</v>
      </c>
    </row>
    <row r="163" spans="1:19" s="118" customFormat="1" ht="16.149999999999999" customHeight="1">
      <c r="A163" s="120" t="s">
        <v>264</v>
      </c>
      <c r="B163" s="131">
        <v>36.049999999999997</v>
      </c>
      <c r="C163" s="119">
        <v>42.924099999999996</v>
      </c>
      <c r="D163" s="119">
        <v>48.27</v>
      </c>
      <c r="E163" s="119">
        <v>43.59825</v>
      </c>
      <c r="F163" s="119">
        <v>41.43</v>
      </c>
      <c r="G163" s="119">
        <v>43.823950000000004</v>
      </c>
      <c r="H163" s="119">
        <v>45.243729999999999</v>
      </c>
      <c r="I163" s="119">
        <v>51.2</v>
      </c>
      <c r="J163" s="119">
        <v>50.9773</v>
      </c>
      <c r="K163" s="119">
        <v>48.08</v>
      </c>
      <c r="L163" s="119">
        <v>47.287239999999997</v>
      </c>
      <c r="M163" s="119">
        <v>47.311669999999999</v>
      </c>
      <c r="N163" s="119">
        <v>46.61</v>
      </c>
      <c r="O163" s="119">
        <v>46.507129999999997</v>
      </c>
      <c r="P163" s="119">
        <v>46.457129999999999</v>
      </c>
      <c r="Q163" s="119">
        <v>46.447130000000001</v>
      </c>
      <c r="R163" s="119">
        <v>46.877040000000001</v>
      </c>
      <c r="S163" s="119">
        <v>46.877040000000001</v>
      </c>
    </row>
    <row r="164" spans="1:19" s="118" customFormat="1" ht="16.149999999999999" customHeight="1" thickBot="1">
      <c r="A164" s="120" t="s">
        <v>263</v>
      </c>
      <c r="B164" s="131">
        <v>26.42</v>
      </c>
      <c r="C164" s="119">
        <v>43.344269999999995</v>
      </c>
      <c r="D164" s="119">
        <v>59.51</v>
      </c>
      <c r="E164" s="119">
        <v>69.528700000000001</v>
      </c>
      <c r="F164" s="119">
        <v>75.930000000000007</v>
      </c>
      <c r="G164" s="119">
        <v>80.147059999999996</v>
      </c>
      <c r="H164" s="119">
        <v>88.036140000000003</v>
      </c>
      <c r="I164" s="119">
        <v>80.48</v>
      </c>
      <c r="J164" s="119">
        <v>327.71915000000001</v>
      </c>
      <c r="K164" s="119">
        <v>321.82</v>
      </c>
      <c r="L164" s="119">
        <v>30.015580000000003</v>
      </c>
      <c r="M164" s="119">
        <v>2936.6876400000001</v>
      </c>
      <c r="N164" s="119">
        <v>4166.8999999999996</v>
      </c>
      <c r="O164" s="119">
        <v>4485.4174800000001</v>
      </c>
      <c r="P164" s="119">
        <v>3918.80807</v>
      </c>
      <c r="Q164" s="119">
        <v>3947.88697</v>
      </c>
      <c r="R164" s="119">
        <v>4285.3313699999999</v>
      </c>
      <c r="S164" s="119">
        <v>4285.3313699999999</v>
      </c>
    </row>
    <row r="165" spans="1:19" s="118" customFormat="1" ht="16.149999999999999" customHeight="1" thickBot="1">
      <c r="A165" s="130" t="s">
        <v>262</v>
      </c>
      <c r="B165" s="129">
        <f t="shared" ref="B165:G165" si="16">SUM(B155:B164)</f>
        <v>1397.99</v>
      </c>
      <c r="C165" s="129">
        <f t="shared" si="16"/>
        <v>1591.24755</v>
      </c>
      <c r="D165" s="129">
        <f t="shared" si="16"/>
        <v>1585.55</v>
      </c>
      <c r="E165" s="129">
        <f t="shared" si="16"/>
        <v>1764.8266300000003</v>
      </c>
      <c r="F165" s="129">
        <f t="shared" si="16"/>
        <v>1891.3400000000001</v>
      </c>
      <c r="G165" s="129">
        <f t="shared" si="16"/>
        <v>2117.2809299999999</v>
      </c>
      <c r="H165" s="129">
        <f>SUM(H155:H164)+10.8</f>
        <v>2324.1553400000007</v>
      </c>
      <c r="I165" s="129">
        <f t="shared" ref="I165:S165" si="17">SUM(I155:I164)</f>
        <v>2874.5499999999997</v>
      </c>
      <c r="J165" s="129">
        <f t="shared" si="17"/>
        <v>3229.3361599999998</v>
      </c>
      <c r="K165" s="129">
        <f t="shared" si="17"/>
        <v>2800.81</v>
      </c>
      <c r="L165" s="129">
        <f t="shared" si="17"/>
        <v>1897.0602999999999</v>
      </c>
      <c r="M165" s="129">
        <f t="shared" si="17"/>
        <v>4574.9939000000004</v>
      </c>
      <c r="N165" s="129">
        <f t="shared" si="17"/>
        <v>5777.7599999999993</v>
      </c>
      <c r="O165" s="129">
        <f t="shared" si="17"/>
        <v>6027.7619599999998</v>
      </c>
      <c r="P165" s="129">
        <f t="shared" si="17"/>
        <v>5455.7482399999999</v>
      </c>
      <c r="Q165" s="129">
        <f t="shared" si="17"/>
        <v>5432.1710899999998</v>
      </c>
      <c r="R165" s="129">
        <f t="shared" si="17"/>
        <v>5768.8279199999997</v>
      </c>
      <c r="S165" s="129">
        <f t="shared" si="17"/>
        <v>5770.5358900000001</v>
      </c>
    </row>
    <row r="166" spans="1:19" s="118" customFormat="1" ht="16.149999999999999" customHeight="1">
      <c r="A166" s="120" t="s">
        <v>261</v>
      </c>
      <c r="B166" s="131">
        <v>932.49</v>
      </c>
      <c r="C166" s="119">
        <v>932.68114000000003</v>
      </c>
      <c r="D166" s="119">
        <v>902.66</v>
      </c>
      <c r="E166" s="119">
        <v>911.81474000000003</v>
      </c>
      <c r="F166" s="119">
        <v>1261.44</v>
      </c>
      <c r="G166" s="119">
        <v>701.36861999999996</v>
      </c>
      <c r="H166" s="119">
        <v>671.32488000000001</v>
      </c>
      <c r="I166" s="119">
        <v>651.33000000000004</v>
      </c>
      <c r="J166" s="119">
        <v>486.79852</v>
      </c>
      <c r="K166" s="119">
        <v>591.66</v>
      </c>
      <c r="L166" s="119">
        <v>489.92313000000001</v>
      </c>
      <c r="M166" s="119">
        <v>389.53759000000002</v>
      </c>
      <c r="N166" s="119">
        <v>442.73</v>
      </c>
      <c r="O166" s="119">
        <v>456.91158999999999</v>
      </c>
      <c r="P166" s="119">
        <v>465.41034000000002</v>
      </c>
      <c r="Q166" s="119">
        <v>401.39508000000001</v>
      </c>
      <c r="R166" s="119">
        <v>400.48234000000002</v>
      </c>
      <c r="S166" s="119">
        <v>400.48234000000002</v>
      </c>
    </row>
    <row r="167" spans="1:19" s="118" customFormat="1" ht="16.149999999999999" customHeight="1">
      <c r="A167" s="120" t="s">
        <v>260</v>
      </c>
      <c r="B167" s="131">
        <v>7.02</v>
      </c>
      <c r="C167" s="119">
        <v>7.2557</v>
      </c>
      <c r="D167" s="119">
        <v>7.49</v>
      </c>
      <c r="E167" s="119">
        <v>8.5280799999999992</v>
      </c>
      <c r="F167" s="119">
        <v>8.7799999999999994</v>
      </c>
      <c r="G167" s="119">
        <v>29.374839999999999</v>
      </c>
      <c r="H167" s="119">
        <v>30.419560000000001</v>
      </c>
      <c r="I167" s="119">
        <v>28.45</v>
      </c>
      <c r="J167" s="119">
        <v>28.093250000000001</v>
      </c>
      <c r="K167" s="119">
        <v>27.01</v>
      </c>
      <c r="L167" s="119">
        <v>14.00868</v>
      </c>
      <c r="M167" s="119"/>
      <c r="N167" s="119"/>
      <c r="O167" s="119"/>
      <c r="P167" s="119"/>
      <c r="Q167" s="119"/>
      <c r="R167" s="119"/>
      <c r="S167" s="119"/>
    </row>
    <row r="168" spans="1:19" s="118" customFormat="1" ht="16.149999999999999" customHeight="1">
      <c r="A168" s="120" t="s">
        <v>259</v>
      </c>
      <c r="B168" s="131">
        <v>16.66</v>
      </c>
      <c r="C168" s="119">
        <v>18.233220000000003</v>
      </c>
      <c r="D168" s="119">
        <v>18.850000000000001</v>
      </c>
      <c r="E168" s="119">
        <v>11.57358</v>
      </c>
      <c r="F168" s="119">
        <v>12.3</v>
      </c>
      <c r="G168" s="119">
        <v>13.59047</v>
      </c>
      <c r="H168" s="119">
        <v>14.0405</v>
      </c>
      <c r="I168" s="119">
        <v>14</v>
      </c>
      <c r="J168" s="119">
        <v>13.462389999999999</v>
      </c>
      <c r="K168" s="119">
        <v>12.49</v>
      </c>
      <c r="L168" s="119">
        <v>9.6659799999999994</v>
      </c>
      <c r="M168" s="119">
        <v>9.3372700000000002</v>
      </c>
      <c r="N168" s="119">
        <v>9.02</v>
      </c>
      <c r="O168" s="119">
        <v>9.3379300000000001</v>
      </c>
      <c r="P168" s="119">
        <v>9.5184800000000003</v>
      </c>
      <c r="Q168" s="119">
        <v>9.1863799999999998</v>
      </c>
      <c r="R168" s="119">
        <v>9.0766399999999994</v>
      </c>
      <c r="S168" s="119">
        <v>9.0766399999999994</v>
      </c>
    </row>
    <row r="169" spans="1:19" s="118" customFormat="1" ht="16.149999999999999" customHeight="1">
      <c r="A169" s="120" t="s">
        <v>258</v>
      </c>
      <c r="B169" s="131">
        <v>13.66</v>
      </c>
      <c r="C169" s="119">
        <v>13.74164</v>
      </c>
      <c r="D169" s="119">
        <v>13.93</v>
      </c>
      <c r="E169" s="119">
        <v>14.33855</v>
      </c>
      <c r="F169" s="119">
        <v>15</v>
      </c>
      <c r="G169" s="119">
        <v>16.94903</v>
      </c>
      <c r="H169" s="119">
        <v>17.220800000000001</v>
      </c>
      <c r="I169" s="119">
        <v>28.97</v>
      </c>
      <c r="J169" s="119">
        <v>28.777529999999999</v>
      </c>
      <c r="K169" s="119">
        <v>22.52</v>
      </c>
      <c r="L169" s="119">
        <v>17.45459</v>
      </c>
      <c r="M169" s="119">
        <v>14.690860000000001</v>
      </c>
      <c r="N169" s="119">
        <v>14.73</v>
      </c>
      <c r="O169" s="119">
        <v>14.51172</v>
      </c>
      <c r="P169" s="119">
        <v>13.95876</v>
      </c>
      <c r="Q169" s="119">
        <v>4.74132</v>
      </c>
      <c r="R169" s="119">
        <v>9.5178200000000004</v>
      </c>
      <c r="S169" s="119">
        <v>9.5178200000000004</v>
      </c>
    </row>
    <row r="170" spans="1:19" s="118" customFormat="1" ht="16.149999999999999" customHeight="1">
      <c r="A170" s="120" t="s">
        <v>257</v>
      </c>
      <c r="B170" s="131">
        <v>128.71</v>
      </c>
      <c r="C170" s="119">
        <v>133.58726999999999</v>
      </c>
      <c r="D170" s="119">
        <v>140.49</v>
      </c>
      <c r="E170" s="119">
        <v>155.58751999999998</v>
      </c>
      <c r="F170" s="119">
        <v>259.23</v>
      </c>
      <c r="G170" s="119">
        <v>301.14053000000001</v>
      </c>
      <c r="H170" s="119">
        <v>362.89868000000001</v>
      </c>
      <c r="I170" s="119">
        <v>769.59</v>
      </c>
      <c r="J170" s="119">
        <v>776.53354999999999</v>
      </c>
      <c r="K170" s="119">
        <v>623.25</v>
      </c>
      <c r="L170" s="119">
        <v>438.19743</v>
      </c>
      <c r="M170" s="119">
        <v>330.61854</v>
      </c>
      <c r="N170" s="119">
        <v>315.95999999999998</v>
      </c>
      <c r="O170" s="119">
        <v>323.02224000000001</v>
      </c>
      <c r="P170" s="119">
        <v>329.25721000000004</v>
      </c>
      <c r="Q170" s="119">
        <v>319.61149</v>
      </c>
      <c r="R170" s="119">
        <v>332.16732999999999</v>
      </c>
      <c r="S170" s="119">
        <v>332.16732999999999</v>
      </c>
    </row>
    <row r="171" spans="1:19" s="118" customFormat="1" ht="16.149999999999999" customHeight="1" thickBot="1">
      <c r="A171" s="120" t="s">
        <v>256</v>
      </c>
      <c r="B171" s="131">
        <v>74.430000000000007</v>
      </c>
      <c r="C171" s="119">
        <v>77.436669999999992</v>
      </c>
      <c r="D171" s="119">
        <v>80.099999999999994</v>
      </c>
      <c r="E171" s="119">
        <v>96.148800000000008</v>
      </c>
      <c r="F171" s="119">
        <v>98.38</v>
      </c>
      <c r="G171" s="119">
        <v>106.39755</v>
      </c>
      <c r="H171" s="119">
        <v>24.693719999999999</v>
      </c>
      <c r="I171" s="119">
        <v>134.52000000000001</v>
      </c>
      <c r="J171" s="119">
        <v>177.68535999999997</v>
      </c>
      <c r="K171" s="119">
        <v>156.01</v>
      </c>
      <c r="L171" s="119">
        <v>140.71735000000001</v>
      </c>
      <c r="M171" s="119">
        <v>145.37236999999999</v>
      </c>
      <c r="N171" s="119">
        <v>153.76</v>
      </c>
      <c r="O171" s="119">
        <v>159.51838000000001</v>
      </c>
      <c r="P171" s="119">
        <v>164.47402</v>
      </c>
      <c r="Q171" s="119">
        <v>140.45277999999999</v>
      </c>
      <c r="R171" s="119">
        <v>144.95862</v>
      </c>
      <c r="S171" s="119">
        <v>144.95862</v>
      </c>
    </row>
    <row r="172" spans="1:19" s="118" customFormat="1" ht="16.149999999999999" customHeight="1" thickBot="1">
      <c r="A172" s="130" t="s">
        <v>255</v>
      </c>
      <c r="B172" s="129">
        <f t="shared" ref="B172:G172" si="18">SUM(B166:B171)</f>
        <v>1172.97</v>
      </c>
      <c r="C172" s="129">
        <f t="shared" si="18"/>
        <v>1182.9356400000001</v>
      </c>
      <c r="D172" s="129">
        <f t="shared" si="18"/>
        <v>1163.52</v>
      </c>
      <c r="E172" s="129">
        <f t="shared" si="18"/>
        <v>1197.99127</v>
      </c>
      <c r="F172" s="129">
        <f t="shared" si="18"/>
        <v>1655.13</v>
      </c>
      <c r="G172" s="129">
        <f t="shared" si="18"/>
        <v>1168.8210399999998</v>
      </c>
      <c r="H172" s="129">
        <f>SUM(H166:H171)+75.23</f>
        <v>1195.8281400000001</v>
      </c>
      <c r="I172" s="129">
        <f t="shared" ref="I172:S172" si="19">SUM(I166:I171)</f>
        <v>1626.8600000000001</v>
      </c>
      <c r="J172" s="129">
        <f t="shared" si="19"/>
        <v>1511.3505999999998</v>
      </c>
      <c r="K172" s="129">
        <f t="shared" si="19"/>
        <v>1432.9399999999998</v>
      </c>
      <c r="L172" s="129">
        <f t="shared" si="19"/>
        <v>1109.9671600000001</v>
      </c>
      <c r="M172" s="129">
        <f t="shared" si="19"/>
        <v>889.55663000000004</v>
      </c>
      <c r="N172" s="129">
        <f t="shared" si="19"/>
        <v>936.2</v>
      </c>
      <c r="O172" s="129">
        <f t="shared" si="19"/>
        <v>963.30186000000003</v>
      </c>
      <c r="P172" s="129">
        <f t="shared" si="19"/>
        <v>982.61881000000005</v>
      </c>
      <c r="Q172" s="129">
        <f t="shared" si="19"/>
        <v>875.38704999999993</v>
      </c>
      <c r="R172" s="129">
        <f t="shared" si="19"/>
        <v>896.20275000000004</v>
      </c>
      <c r="S172" s="129">
        <f t="shared" si="19"/>
        <v>896.20275000000004</v>
      </c>
    </row>
    <row r="173" spans="1:19" s="118" customFormat="1" ht="16.149999999999999" customHeight="1">
      <c r="A173" s="120" t="s">
        <v>254</v>
      </c>
      <c r="B173" s="131">
        <v>1042.3599999999999</v>
      </c>
      <c r="C173" s="119">
        <v>1065.2800400000001</v>
      </c>
      <c r="D173" s="119">
        <v>1233.68</v>
      </c>
      <c r="E173" s="119">
        <v>978.55336999999997</v>
      </c>
      <c r="F173" s="119">
        <v>1163.57</v>
      </c>
      <c r="G173" s="119">
        <v>1182.2816</v>
      </c>
      <c r="H173" s="119">
        <f>1243.52704+450</f>
        <v>1693.5270399999999</v>
      </c>
      <c r="I173" s="119">
        <v>1354.6414299999999</v>
      </c>
      <c r="J173" s="119">
        <f>652.35729+404</f>
        <v>1056.3572899999999</v>
      </c>
      <c r="K173" s="119">
        <f>548.86717+600</f>
        <v>1148.86717</v>
      </c>
      <c r="L173" s="119">
        <v>1247.91068</v>
      </c>
      <c r="M173" s="119">
        <v>827.34073999999998</v>
      </c>
      <c r="N173" s="119">
        <v>1140.1099999999999</v>
      </c>
      <c r="O173" s="119">
        <v>903.88206000000002</v>
      </c>
      <c r="P173" s="119">
        <v>900.03201000000001</v>
      </c>
      <c r="Q173" s="119">
        <v>900.28866000000005</v>
      </c>
      <c r="R173" s="119">
        <v>1551.2394899999999</v>
      </c>
      <c r="S173" s="119">
        <v>1541.18749</v>
      </c>
    </row>
    <row r="174" spans="1:19" s="118" customFormat="1" ht="16.149999999999999" customHeight="1">
      <c r="A174" s="120" t="s">
        <v>253</v>
      </c>
      <c r="B174" s="119">
        <v>35.61</v>
      </c>
      <c r="C174" s="119">
        <v>39.61571</v>
      </c>
      <c r="D174" s="119">
        <v>47.9</v>
      </c>
      <c r="E174" s="119">
        <v>57.35792</v>
      </c>
      <c r="F174" s="119">
        <v>73.88</v>
      </c>
      <c r="G174" s="119">
        <v>93.215519999999998</v>
      </c>
      <c r="H174" s="119">
        <v>114.04998000000001</v>
      </c>
      <c r="I174" s="119">
        <v>114.04998000000001</v>
      </c>
      <c r="J174" s="119">
        <v>104.54575</v>
      </c>
      <c r="K174" s="119">
        <v>84.36</v>
      </c>
      <c r="L174" s="119">
        <v>57.863349999999997</v>
      </c>
      <c r="M174" s="119">
        <v>58.326309999999999</v>
      </c>
      <c r="N174" s="119">
        <v>97.42</v>
      </c>
      <c r="O174" s="119">
        <v>82.249650000000003</v>
      </c>
      <c r="P174" s="119">
        <v>109.89964999999999</v>
      </c>
      <c r="Q174" s="119">
        <v>109.89964999999999</v>
      </c>
      <c r="R174" s="119">
        <v>128.68965</v>
      </c>
      <c r="S174" s="119">
        <v>128.68965</v>
      </c>
    </row>
    <row r="175" spans="1:19" s="118" customFormat="1" ht="16.149999999999999" customHeight="1">
      <c r="A175" s="120" t="s">
        <v>252</v>
      </c>
      <c r="B175" s="131">
        <v>152.79</v>
      </c>
      <c r="C175" s="119">
        <v>173.62071</v>
      </c>
      <c r="D175" s="119">
        <v>191.09</v>
      </c>
      <c r="E175" s="119">
        <v>246.38848999999999</v>
      </c>
      <c r="F175" s="119">
        <v>312.26</v>
      </c>
      <c r="G175" s="119">
        <v>379.64181000000002</v>
      </c>
      <c r="H175" s="119">
        <v>402.42</v>
      </c>
      <c r="I175" s="119">
        <v>413.62700000000001</v>
      </c>
      <c r="J175" s="119">
        <v>372.26429999999999</v>
      </c>
      <c r="K175" s="119">
        <v>344.84759000000003</v>
      </c>
      <c r="L175" s="119">
        <v>288.33699999999999</v>
      </c>
      <c r="M175" s="119">
        <v>274.52330000000001</v>
      </c>
      <c r="N175" s="119">
        <v>357.48</v>
      </c>
      <c r="O175" s="119">
        <v>324.55817000000002</v>
      </c>
      <c r="P175" s="119">
        <v>358.80816999999996</v>
      </c>
      <c r="Q175" s="119">
        <v>350.50965000000002</v>
      </c>
      <c r="R175" s="119">
        <v>393.58591999999999</v>
      </c>
      <c r="S175" s="119">
        <v>393.58591999999999</v>
      </c>
    </row>
    <row r="176" spans="1:19" s="118" customFormat="1" ht="16.149999999999999" customHeight="1" thickBot="1">
      <c r="A176" s="134" t="s">
        <v>251</v>
      </c>
      <c r="B176" s="131">
        <v>92.12</v>
      </c>
      <c r="C176" s="119">
        <v>123.04</v>
      </c>
      <c r="D176" s="119">
        <v>26.97</v>
      </c>
      <c r="E176" s="119">
        <v>26.965479999999999</v>
      </c>
      <c r="F176" s="119">
        <v>30</v>
      </c>
      <c r="G176" s="119">
        <v>30</v>
      </c>
      <c r="H176" s="119">
        <v>57</v>
      </c>
      <c r="I176" s="119">
        <v>57</v>
      </c>
      <c r="J176" s="119">
        <v>57</v>
      </c>
      <c r="K176" s="119">
        <v>40.65</v>
      </c>
      <c r="L176" s="119">
        <v>22.69</v>
      </c>
      <c r="M176" s="119">
        <v>19.84</v>
      </c>
      <c r="N176" s="119">
        <v>20.149999999999999</v>
      </c>
      <c r="O176" s="119">
        <v>29.77938</v>
      </c>
      <c r="P176" s="119">
        <v>55.327930000000002</v>
      </c>
      <c r="Q176" s="119">
        <v>60.327930000000002</v>
      </c>
      <c r="R176" s="119">
        <v>75.247029999999995</v>
      </c>
      <c r="S176" s="119">
        <v>75.247029999999995</v>
      </c>
    </row>
    <row r="177" spans="1:20" s="118" customFormat="1" ht="16.149999999999999" customHeight="1" thickBot="1">
      <c r="A177" s="130" t="s">
        <v>250</v>
      </c>
      <c r="B177" s="129">
        <f t="shared" ref="B177:S177" si="20">SUM(B173:B176)</f>
        <v>1322.8799999999997</v>
      </c>
      <c r="C177" s="129">
        <f t="shared" si="20"/>
        <v>1401.55646</v>
      </c>
      <c r="D177" s="129">
        <f t="shared" si="20"/>
        <v>1499.64</v>
      </c>
      <c r="E177" s="129">
        <f t="shared" si="20"/>
        <v>1309.2652600000001</v>
      </c>
      <c r="F177" s="129">
        <f t="shared" si="20"/>
        <v>1579.7099999999998</v>
      </c>
      <c r="G177" s="129">
        <f t="shared" si="20"/>
        <v>1685.1389300000001</v>
      </c>
      <c r="H177" s="135">
        <f t="shared" si="20"/>
        <v>2266.9970199999998</v>
      </c>
      <c r="I177" s="135">
        <f t="shared" si="20"/>
        <v>1939.3184099999999</v>
      </c>
      <c r="J177" s="135">
        <f t="shared" si="20"/>
        <v>1590.16734</v>
      </c>
      <c r="K177" s="135">
        <f t="shared" si="20"/>
        <v>1618.7247600000001</v>
      </c>
      <c r="L177" s="129">
        <f t="shared" si="20"/>
        <v>1616.8010300000001</v>
      </c>
      <c r="M177" s="129">
        <f t="shared" si="20"/>
        <v>1180.03035</v>
      </c>
      <c r="N177" s="129">
        <f t="shared" si="20"/>
        <v>1615.16</v>
      </c>
      <c r="O177" s="129">
        <f t="shared" si="20"/>
        <v>1340.4692599999998</v>
      </c>
      <c r="P177" s="129">
        <f t="shared" si="20"/>
        <v>1424.0677599999999</v>
      </c>
      <c r="Q177" s="129">
        <f t="shared" si="20"/>
        <v>1421.0258899999999</v>
      </c>
      <c r="R177" s="129">
        <f t="shared" si="20"/>
        <v>2148.7620899999997</v>
      </c>
      <c r="S177" s="129">
        <f t="shared" si="20"/>
        <v>2138.71009</v>
      </c>
    </row>
    <row r="178" spans="1:20" s="118" customFormat="1" ht="16.149999999999999" customHeight="1">
      <c r="A178" s="120" t="s">
        <v>249</v>
      </c>
      <c r="B178" s="131">
        <v>33.99</v>
      </c>
      <c r="C178" s="119">
        <v>35.280519999999996</v>
      </c>
      <c r="D178" s="119">
        <v>36.36</v>
      </c>
      <c r="E178" s="119">
        <v>39.607779999999998</v>
      </c>
      <c r="F178" s="119">
        <v>40.97</v>
      </c>
      <c r="G178" s="119">
        <v>43.651890000000002</v>
      </c>
      <c r="H178" s="119">
        <v>44.624609999999997</v>
      </c>
      <c r="I178" s="119">
        <v>46.186399999999999</v>
      </c>
      <c r="J178" s="119">
        <v>46.567730000000005</v>
      </c>
      <c r="K178" s="119">
        <v>44.4</v>
      </c>
      <c r="L178" s="119">
        <v>32.00544</v>
      </c>
      <c r="M178" s="119">
        <v>32.545090000000002</v>
      </c>
      <c r="N178" s="119">
        <v>32.71</v>
      </c>
      <c r="O178" s="119">
        <v>30.591200000000001</v>
      </c>
      <c r="P178" s="119">
        <v>29.801860000000001</v>
      </c>
      <c r="Q178" s="119">
        <v>27.771249999999998</v>
      </c>
      <c r="R178" s="119">
        <v>28.805199999999999</v>
      </c>
      <c r="S178" s="119">
        <v>28.805199999999999</v>
      </c>
    </row>
    <row r="179" spans="1:20" s="118" customFormat="1" ht="16.149999999999999" customHeight="1">
      <c r="A179" s="134" t="s">
        <v>248</v>
      </c>
      <c r="B179" s="119">
        <f>1554-92.12</f>
        <v>1461.88</v>
      </c>
      <c r="C179" s="119">
        <f>1659-123.04</f>
        <v>1535.96</v>
      </c>
      <c r="D179" s="119">
        <v>2141.9899999999998</v>
      </c>
      <c r="E179" s="119">
        <v>2909.7054499999999</v>
      </c>
      <c r="F179" s="119">
        <v>3081.99</v>
      </c>
      <c r="G179" s="119">
        <v>3788.1516700000002</v>
      </c>
      <c r="H179" s="119">
        <v>4047.20255</v>
      </c>
      <c r="I179" s="119">
        <v>2282.9840899999999</v>
      </c>
      <c r="J179" s="119">
        <v>3803.741</v>
      </c>
      <c r="K179" s="119">
        <v>2330.8704200000002</v>
      </c>
      <c r="L179" s="119">
        <v>1192.1480900000001</v>
      </c>
      <c r="M179" s="119">
        <v>854.79038000000003</v>
      </c>
      <c r="N179" s="119">
        <v>702.2</v>
      </c>
      <c r="O179" s="119">
        <v>1143.07322</v>
      </c>
      <c r="P179" s="119">
        <v>1019.51238</v>
      </c>
      <c r="Q179" s="119">
        <v>605.19993999999997</v>
      </c>
      <c r="R179" s="119">
        <v>917.93623000000002</v>
      </c>
      <c r="S179" s="119">
        <v>917.68623000000002</v>
      </c>
    </row>
    <row r="180" spans="1:20" s="118" customFormat="1" ht="16.149999999999999" customHeight="1">
      <c r="A180" s="120" t="s">
        <v>247</v>
      </c>
      <c r="B180" s="131">
        <v>82.41</v>
      </c>
      <c r="C180" s="119">
        <v>85.63172999999999</v>
      </c>
      <c r="D180" s="119">
        <v>77.010000000000005</v>
      </c>
      <c r="E180" s="119">
        <v>83.476880000000008</v>
      </c>
      <c r="F180" s="119">
        <v>80.16</v>
      </c>
      <c r="G180" s="119">
        <v>86.663380000000004</v>
      </c>
      <c r="H180" s="119">
        <v>97.812280000000001</v>
      </c>
      <c r="I180" s="119">
        <v>246.10531</v>
      </c>
      <c r="J180" s="119">
        <v>225.43167000000003</v>
      </c>
      <c r="K180" s="119">
        <v>192.22775999999999</v>
      </c>
      <c r="L180" s="119">
        <v>177.52499</v>
      </c>
      <c r="M180" s="119">
        <v>148.28401000000002</v>
      </c>
      <c r="N180" s="119">
        <v>141.84</v>
      </c>
      <c r="O180" s="119">
        <v>142.50308000000001</v>
      </c>
      <c r="P180" s="119">
        <v>140.77467999999999</v>
      </c>
      <c r="Q180" s="119">
        <v>127.95974</v>
      </c>
      <c r="R180" s="119">
        <v>130.45112</v>
      </c>
      <c r="S180" s="131">
        <v>51.300719999999998</v>
      </c>
    </row>
    <row r="181" spans="1:20" s="118" customFormat="1" ht="16.149999999999999" customHeight="1">
      <c r="A181" s="120" t="s">
        <v>246</v>
      </c>
      <c r="B181" s="131">
        <v>1404.91</v>
      </c>
      <c r="C181" s="119">
        <v>1620.5098500000001</v>
      </c>
      <c r="D181" s="119">
        <v>1716.4</v>
      </c>
      <c r="E181" s="119">
        <v>1464.3904399999999</v>
      </c>
      <c r="F181" s="119">
        <v>1713.08</v>
      </c>
      <c r="G181" s="119">
        <v>1761.9345599999999</v>
      </c>
      <c r="H181" s="119">
        <v>1908.19388</v>
      </c>
      <c r="I181" s="119">
        <v>1712.31447</v>
      </c>
      <c r="J181" s="119">
        <v>1621.66911</v>
      </c>
      <c r="K181" s="119">
        <v>1137.5</v>
      </c>
      <c r="L181" s="119">
        <v>940.3537</v>
      </c>
      <c r="M181" s="119">
        <v>839.3338</v>
      </c>
      <c r="N181" s="119">
        <v>1170.53</v>
      </c>
      <c r="O181" s="119">
        <v>1170.11376</v>
      </c>
      <c r="P181" s="119">
        <v>1137.67948</v>
      </c>
      <c r="Q181" s="119">
        <v>1073.72819</v>
      </c>
      <c r="R181" s="119">
        <v>1130.5246399999999</v>
      </c>
      <c r="S181" s="131">
        <v>1115.7956799999999</v>
      </c>
      <c r="T181" s="132"/>
    </row>
    <row r="182" spans="1:20" s="118" customFormat="1" ht="16.149999999999999" customHeight="1">
      <c r="A182" s="120" t="s">
        <v>245</v>
      </c>
      <c r="B182" s="131">
        <v>251.09</v>
      </c>
      <c r="C182" s="119">
        <v>251.32080999999999</v>
      </c>
      <c r="D182" s="119">
        <v>296.85000000000002</v>
      </c>
      <c r="E182" s="119">
        <v>322.97199000000001</v>
      </c>
      <c r="F182" s="119">
        <v>302.33</v>
      </c>
      <c r="G182" s="119">
        <v>371.85075000000001</v>
      </c>
      <c r="H182" s="119">
        <v>415.95868000000002</v>
      </c>
      <c r="I182" s="119">
        <v>436.60599999999999</v>
      </c>
      <c r="J182" s="119">
        <v>290.51871</v>
      </c>
      <c r="K182" s="119">
        <v>121.44</v>
      </c>
      <c r="L182" s="119">
        <v>55.015050000000002</v>
      </c>
      <c r="M182" s="119">
        <v>56.854140000000001</v>
      </c>
      <c r="N182" s="119">
        <v>10.66</v>
      </c>
      <c r="O182" s="119">
        <v>118.4662</v>
      </c>
      <c r="P182" s="119">
        <v>109.52464000000001</v>
      </c>
      <c r="Q182" s="119">
        <v>44.027830000000002</v>
      </c>
      <c r="R182" s="119">
        <v>69.616869999999992</v>
      </c>
      <c r="S182" s="119">
        <v>69.616869999999992</v>
      </c>
    </row>
    <row r="183" spans="1:20" s="118" customFormat="1" ht="16.149999999999999" customHeight="1">
      <c r="A183" s="120" t="s">
        <v>244</v>
      </c>
      <c r="B183" s="131">
        <v>1268.3699999999999</v>
      </c>
      <c r="C183" s="119">
        <v>1364.87409</v>
      </c>
      <c r="D183" s="119">
        <v>1556.48</v>
      </c>
      <c r="E183" s="119">
        <v>1607.7207900000001</v>
      </c>
      <c r="F183" s="119">
        <v>2158.4299999999998</v>
      </c>
      <c r="G183" s="119">
        <v>2219.3185699999999</v>
      </c>
      <c r="H183" s="119">
        <v>2359.4024599999998</v>
      </c>
      <c r="I183" s="119">
        <v>2042.6204200000002</v>
      </c>
      <c r="J183" s="119">
        <v>2050.1405199999999</v>
      </c>
      <c r="K183" s="119">
        <v>1191.5941600000001</v>
      </c>
      <c r="L183" s="119">
        <v>986.42806999999993</v>
      </c>
      <c r="M183" s="119">
        <v>856.74168000000009</v>
      </c>
      <c r="N183" s="119">
        <v>850.03</v>
      </c>
      <c r="O183" s="119">
        <v>863.31673999999998</v>
      </c>
      <c r="P183" s="119">
        <v>851.30817000000002</v>
      </c>
      <c r="Q183" s="119">
        <v>845.14747</v>
      </c>
      <c r="R183" s="119">
        <v>412.71360999999996</v>
      </c>
      <c r="S183" s="119">
        <v>412.71360999999996</v>
      </c>
    </row>
    <row r="184" spans="1:20" s="118" customFormat="1" ht="16.149999999999999" customHeight="1">
      <c r="A184" s="120" t="s">
        <v>243</v>
      </c>
      <c r="B184" s="131">
        <v>2117.42</v>
      </c>
      <c r="C184" s="119">
        <v>2260.7482400000004</v>
      </c>
      <c r="D184" s="119">
        <v>2328.5</v>
      </c>
      <c r="E184" s="119">
        <v>2560.1790000000001</v>
      </c>
      <c r="F184" s="119">
        <v>2650.74</v>
      </c>
      <c r="G184" s="119">
        <v>2747.76568</v>
      </c>
      <c r="H184" s="119">
        <v>2821.8000099999999</v>
      </c>
      <c r="I184" s="119">
        <v>2886.34085</v>
      </c>
      <c r="J184" s="119">
        <v>2901.3331199999998</v>
      </c>
      <c r="K184" s="119">
        <v>1433.26</v>
      </c>
      <c r="L184" s="119">
        <v>1782.2894899999999</v>
      </c>
      <c r="M184" s="119">
        <v>1576.57998</v>
      </c>
      <c r="N184" s="119">
        <v>1059.1300000000001</v>
      </c>
      <c r="O184" s="119">
        <v>1011.86666</v>
      </c>
      <c r="P184" s="119">
        <v>1075.1876399999999</v>
      </c>
      <c r="Q184" s="119">
        <v>1122.16257</v>
      </c>
      <c r="R184" s="119">
        <v>1456.8448899999999</v>
      </c>
      <c r="S184" s="119">
        <v>1456.2448899999999</v>
      </c>
    </row>
    <row r="185" spans="1:20" s="118" customFormat="1" ht="16.149999999999999" customHeight="1">
      <c r="A185" s="120" t="s">
        <v>242</v>
      </c>
      <c r="B185" s="131">
        <v>644</v>
      </c>
      <c r="C185" s="119">
        <v>656.83931000000007</v>
      </c>
      <c r="D185" s="119">
        <v>687.97</v>
      </c>
      <c r="E185" s="119">
        <v>754.42287999999996</v>
      </c>
      <c r="F185" s="119">
        <v>956.59</v>
      </c>
      <c r="G185" s="119">
        <v>1141.47307</v>
      </c>
      <c r="H185" s="119">
        <v>1219.1826000000001</v>
      </c>
      <c r="I185" s="119">
        <v>1323.8386399999999</v>
      </c>
      <c r="J185" s="119">
        <v>1325.87871</v>
      </c>
      <c r="K185" s="119">
        <v>1136.5999999999999</v>
      </c>
      <c r="L185" s="119">
        <v>926.03797999999995</v>
      </c>
      <c r="M185" s="119">
        <v>993.34180000000003</v>
      </c>
      <c r="N185" s="119">
        <v>878.15</v>
      </c>
      <c r="O185" s="119">
        <v>909.50717999999995</v>
      </c>
      <c r="P185" s="119">
        <v>934.91066000000001</v>
      </c>
      <c r="Q185" s="119">
        <v>935.61219000000006</v>
      </c>
      <c r="R185" s="119">
        <v>809.05739000000005</v>
      </c>
      <c r="S185" s="119">
        <v>807.53849000000002</v>
      </c>
    </row>
    <row r="186" spans="1:20" s="118" customFormat="1" ht="16.149999999999999" customHeight="1">
      <c r="A186" s="120" t="s">
        <v>241</v>
      </c>
      <c r="B186" s="131">
        <v>35</v>
      </c>
      <c r="C186" s="119">
        <v>35.604730000000004</v>
      </c>
      <c r="D186" s="119">
        <v>36.75</v>
      </c>
      <c r="E186" s="119">
        <v>37.613870000000006</v>
      </c>
      <c r="F186" s="119">
        <v>54.37</v>
      </c>
      <c r="G186" s="119">
        <v>55.809579999999997</v>
      </c>
      <c r="H186" s="119">
        <v>57.614910000000002</v>
      </c>
      <c r="I186" s="119">
        <v>90.369</v>
      </c>
      <c r="J186" s="119">
        <v>253.48791</v>
      </c>
      <c r="K186" s="119">
        <v>66.08</v>
      </c>
      <c r="L186" s="119">
        <v>34.669069999999998</v>
      </c>
      <c r="M186" s="119">
        <v>23.307639999999999</v>
      </c>
      <c r="N186" s="119">
        <v>21.16</v>
      </c>
      <c r="O186" s="119">
        <v>24.470179999999999</v>
      </c>
      <c r="P186" s="119">
        <v>23.853450000000002</v>
      </c>
      <c r="Q186" s="119">
        <v>20.359919999999999</v>
      </c>
      <c r="R186" s="119">
        <v>21.443830000000002</v>
      </c>
      <c r="S186" s="119">
        <v>21.443830000000002</v>
      </c>
    </row>
    <row r="187" spans="1:20" s="118" customFormat="1" ht="16.149999999999999" customHeight="1">
      <c r="A187" s="139" t="s">
        <v>240</v>
      </c>
      <c r="B187" s="131"/>
      <c r="C187" s="119"/>
      <c r="D187" s="119"/>
      <c r="E187" s="119"/>
      <c r="F187" s="119"/>
      <c r="G187" s="119"/>
      <c r="H187" s="119"/>
      <c r="I187" s="119"/>
      <c r="J187" s="119"/>
      <c r="K187" s="119"/>
      <c r="L187" s="119"/>
      <c r="M187" s="119"/>
      <c r="N187" s="119"/>
      <c r="O187" s="119"/>
      <c r="P187" s="138">
        <v>16.30452</v>
      </c>
      <c r="Q187" s="138">
        <v>14.065480000000001</v>
      </c>
      <c r="R187" s="138">
        <v>13.880510000000001</v>
      </c>
      <c r="S187" s="138">
        <v>13.880510000000001</v>
      </c>
    </row>
    <row r="188" spans="1:20" s="118" customFormat="1" ht="16.149999999999999" customHeight="1">
      <c r="A188" s="139" t="s">
        <v>239</v>
      </c>
      <c r="B188" s="131"/>
      <c r="C188" s="119"/>
      <c r="D188" s="119"/>
      <c r="E188" s="119"/>
      <c r="F188" s="119"/>
      <c r="G188" s="119"/>
      <c r="H188" s="119"/>
      <c r="I188" s="119"/>
      <c r="J188" s="119"/>
      <c r="K188" s="119"/>
      <c r="L188" s="119"/>
      <c r="M188" s="119"/>
      <c r="N188" s="119"/>
      <c r="O188" s="119"/>
      <c r="P188" s="138"/>
      <c r="Q188" s="138">
        <v>0.32363999999999998</v>
      </c>
      <c r="R188" s="138">
        <v>0.39083999999999997</v>
      </c>
      <c r="S188" s="138">
        <v>0.39083999999999997</v>
      </c>
    </row>
    <row r="189" spans="1:20" s="118" customFormat="1" ht="16.149999999999999" customHeight="1">
      <c r="A189" s="120" t="s">
        <v>238</v>
      </c>
      <c r="B189" s="119">
        <v>105.25</v>
      </c>
      <c r="C189" s="119">
        <v>109.70657000000001</v>
      </c>
      <c r="D189" s="119">
        <v>123.47</v>
      </c>
      <c r="E189" s="119">
        <v>140.28894</v>
      </c>
      <c r="F189" s="119">
        <v>179.99</v>
      </c>
      <c r="G189" s="119">
        <v>218.90651</v>
      </c>
      <c r="H189" s="119">
        <v>248.0438</v>
      </c>
      <c r="I189" s="119">
        <v>63.353999999999985</v>
      </c>
      <c r="J189" s="119">
        <v>61.940619999999996</v>
      </c>
      <c r="K189" s="119">
        <v>56.916370000000001</v>
      </c>
      <c r="L189" s="140">
        <f>170.01386-L302</f>
        <v>50.603859999999997</v>
      </c>
      <c r="M189" s="119">
        <v>48.41713</v>
      </c>
      <c r="N189" s="119">
        <v>44.29</v>
      </c>
      <c r="O189" s="119">
        <v>43.168219999999998</v>
      </c>
      <c r="P189" s="119">
        <v>41.231490000000001</v>
      </c>
      <c r="Q189" s="119">
        <v>41.964060000000003</v>
      </c>
      <c r="R189" s="119">
        <v>41.206379999999996</v>
      </c>
      <c r="S189" s="119">
        <v>41.175190000000001</v>
      </c>
    </row>
    <row r="190" spans="1:20" s="118" customFormat="1" ht="16.149999999999999" customHeight="1">
      <c r="A190" s="139" t="s">
        <v>237</v>
      </c>
      <c r="B190" s="131"/>
      <c r="C190" s="119"/>
      <c r="D190" s="119"/>
      <c r="E190" s="119"/>
      <c r="F190" s="119"/>
      <c r="G190" s="119"/>
      <c r="H190" s="119"/>
      <c r="I190" s="119"/>
      <c r="J190" s="119"/>
      <c r="K190" s="119"/>
      <c r="L190" s="119"/>
      <c r="M190" s="119"/>
      <c r="N190" s="119"/>
      <c r="O190" s="119"/>
      <c r="P190" s="138"/>
      <c r="Q190" s="138">
        <v>0.63536000000000004</v>
      </c>
      <c r="R190" s="138">
        <v>0.58466999999999991</v>
      </c>
      <c r="S190" s="138">
        <v>0.58466999999999991</v>
      </c>
    </row>
    <row r="191" spans="1:20" s="118" customFormat="1" ht="16.149999999999999" customHeight="1">
      <c r="A191" s="120" t="s">
        <v>236</v>
      </c>
      <c r="B191" s="131">
        <v>20.3</v>
      </c>
      <c r="C191" s="119">
        <v>20.72964</v>
      </c>
      <c r="D191" s="119">
        <v>22.07</v>
      </c>
      <c r="E191" s="119">
        <v>30.083919999999999</v>
      </c>
      <c r="F191" s="119">
        <v>44.25</v>
      </c>
      <c r="G191" s="119">
        <v>44.013390000000001</v>
      </c>
      <c r="H191" s="119">
        <v>44.485289999999999</v>
      </c>
      <c r="I191" s="119">
        <v>64.142290000000003</v>
      </c>
      <c r="J191" s="119">
        <v>64.046900000000008</v>
      </c>
      <c r="K191" s="119">
        <v>57.58</v>
      </c>
      <c r="L191" s="119">
        <v>56.01708</v>
      </c>
      <c r="M191" s="119">
        <v>54.423859999999998</v>
      </c>
      <c r="N191" s="119">
        <v>69.900000000000006</v>
      </c>
      <c r="O191" s="119">
        <v>75.460819999999998</v>
      </c>
      <c r="P191" s="119">
        <v>74.881119999999996</v>
      </c>
      <c r="Q191" s="119">
        <v>75.278909999999996</v>
      </c>
      <c r="R191" s="119">
        <v>86.529499999999999</v>
      </c>
      <c r="S191" s="119">
        <v>86.529499999999999</v>
      </c>
    </row>
    <row r="192" spans="1:20" s="118" customFormat="1" ht="16.149999999999999" customHeight="1">
      <c r="A192" s="139" t="s">
        <v>235</v>
      </c>
      <c r="B192" s="131"/>
      <c r="C192" s="119"/>
      <c r="D192" s="119"/>
      <c r="E192" s="119"/>
      <c r="F192" s="119"/>
      <c r="G192" s="119"/>
      <c r="H192" s="119"/>
      <c r="I192" s="119"/>
      <c r="J192" s="119"/>
      <c r="K192" s="119"/>
      <c r="L192" s="119"/>
      <c r="M192" s="119"/>
      <c r="N192" s="119"/>
      <c r="O192" s="119"/>
      <c r="P192" s="138"/>
      <c r="Q192" s="138">
        <v>1.5012300000000001</v>
      </c>
      <c r="R192" s="138">
        <v>1.4680799999999998</v>
      </c>
      <c r="S192" s="138">
        <v>1.4680799999999998</v>
      </c>
    </row>
    <row r="193" spans="1:20" s="118" customFormat="1" ht="16.149999999999999" customHeight="1">
      <c r="A193" s="120" t="s">
        <v>234</v>
      </c>
      <c r="B193" s="131">
        <v>365.71</v>
      </c>
      <c r="C193" s="119">
        <v>435.59213</v>
      </c>
      <c r="D193" s="119">
        <v>487.14</v>
      </c>
      <c r="E193" s="119">
        <v>526.74766</v>
      </c>
      <c r="F193" s="119">
        <v>619.4</v>
      </c>
      <c r="G193" s="119">
        <v>606.41485999999998</v>
      </c>
      <c r="H193" s="119">
        <v>550.33235000000002</v>
      </c>
      <c r="I193" s="119">
        <v>576.45677000000001</v>
      </c>
      <c r="J193" s="119">
        <v>460.71776999999997</v>
      </c>
      <c r="K193" s="119">
        <v>281.69</v>
      </c>
      <c r="L193" s="119">
        <v>199.27495999999999</v>
      </c>
      <c r="M193" s="119">
        <v>134.50740999999999</v>
      </c>
      <c r="N193" s="119">
        <v>148.97</v>
      </c>
      <c r="O193" s="119">
        <v>243.09020000000001</v>
      </c>
      <c r="P193" s="119">
        <v>205.61066</v>
      </c>
      <c r="Q193" s="119">
        <v>176.73299</v>
      </c>
      <c r="R193" s="119">
        <v>167.49468999999999</v>
      </c>
      <c r="S193" s="119">
        <v>166.99468999999999</v>
      </c>
    </row>
    <row r="194" spans="1:20" s="118" customFormat="1" ht="16.149999999999999" customHeight="1">
      <c r="A194" s="120" t="s">
        <v>233</v>
      </c>
      <c r="B194" s="131">
        <v>59.62</v>
      </c>
      <c r="C194" s="119">
        <v>62.28501</v>
      </c>
      <c r="D194" s="119">
        <v>52.45</v>
      </c>
      <c r="E194" s="119">
        <v>49.887120000000003</v>
      </c>
      <c r="F194" s="119">
        <v>51.64</v>
      </c>
      <c r="G194" s="119">
        <v>57.363689999999998</v>
      </c>
      <c r="H194" s="119">
        <v>61.632869999999997</v>
      </c>
      <c r="I194" s="119">
        <v>61.477640000000001</v>
      </c>
      <c r="J194" s="119">
        <v>55.770609999999998</v>
      </c>
      <c r="K194" s="119">
        <v>30.21</v>
      </c>
      <c r="L194" s="119">
        <v>18.831859999999999</v>
      </c>
      <c r="M194" s="119">
        <v>14.54157</v>
      </c>
      <c r="N194" s="119">
        <v>14.13</v>
      </c>
      <c r="O194" s="119">
        <v>24.529990000000002</v>
      </c>
      <c r="P194" s="119">
        <v>18.481990000000003</v>
      </c>
      <c r="Q194" s="119">
        <v>16.533740000000002</v>
      </c>
      <c r="R194" s="119">
        <v>20.832429999999999</v>
      </c>
      <c r="S194" s="119">
        <v>20.692430000000002</v>
      </c>
    </row>
    <row r="195" spans="1:20" s="118" customFormat="1" ht="16.149999999999999" customHeight="1">
      <c r="A195" s="120" t="s">
        <v>232</v>
      </c>
      <c r="B195" s="119">
        <v>243.27</v>
      </c>
      <c r="C195" s="119">
        <v>256.30297000000002</v>
      </c>
      <c r="D195" s="119">
        <v>273.18</v>
      </c>
      <c r="E195" s="119">
        <v>287.46029999999996</v>
      </c>
      <c r="F195" s="119">
        <v>314.45</v>
      </c>
      <c r="G195" s="119">
        <v>346.98151999999999</v>
      </c>
      <c r="H195" s="119">
        <v>373.53829999999999</v>
      </c>
      <c r="I195" s="119">
        <v>416.62700000000001</v>
      </c>
      <c r="J195" s="119">
        <v>371.90339</v>
      </c>
      <c r="K195" s="119">
        <v>225.67</v>
      </c>
      <c r="L195" s="119">
        <v>190.46107000000001</v>
      </c>
      <c r="M195" s="119">
        <v>165.87765999999999</v>
      </c>
      <c r="N195" s="119">
        <v>147.28</v>
      </c>
      <c r="O195" s="119">
        <v>154.64182</v>
      </c>
      <c r="P195" s="119">
        <v>197.34997000000001</v>
      </c>
      <c r="Q195" s="119">
        <v>171.85416000000001</v>
      </c>
      <c r="R195" s="119">
        <v>174.73373999999998</v>
      </c>
      <c r="S195" s="131">
        <v>52.492640000000002</v>
      </c>
    </row>
    <row r="196" spans="1:20" s="118" customFormat="1" ht="15.75" customHeight="1">
      <c r="A196" s="120" t="s">
        <v>231</v>
      </c>
      <c r="B196" s="119">
        <v>177.02</v>
      </c>
      <c r="C196" s="119">
        <v>190.73868999999999</v>
      </c>
      <c r="D196" s="119">
        <v>200.65</v>
      </c>
      <c r="E196" s="119">
        <v>211.18176</v>
      </c>
      <c r="F196" s="119">
        <v>231.97</v>
      </c>
      <c r="G196" s="119">
        <v>271.04079000000002</v>
      </c>
      <c r="H196" s="119">
        <v>291.09528</v>
      </c>
      <c r="I196" s="119">
        <v>301.19533000000001</v>
      </c>
      <c r="J196" s="119">
        <v>280.82909999999998</v>
      </c>
      <c r="K196" s="119">
        <v>162.4</v>
      </c>
      <c r="L196" s="119">
        <v>104.5938</v>
      </c>
      <c r="M196" s="119">
        <v>74.935520000000011</v>
      </c>
      <c r="N196" s="119">
        <v>66.41</v>
      </c>
      <c r="O196" s="119">
        <v>89.766270000000006</v>
      </c>
      <c r="P196" s="119">
        <v>91.707429999999988</v>
      </c>
      <c r="Q196" s="119">
        <v>94.644139999999993</v>
      </c>
      <c r="R196" s="119">
        <v>99.10463</v>
      </c>
      <c r="S196" s="119">
        <v>98.684629999999999</v>
      </c>
    </row>
    <row r="197" spans="1:20" s="118" customFormat="1" ht="16.149999999999999" customHeight="1">
      <c r="A197" s="120" t="s">
        <v>230</v>
      </c>
      <c r="B197" s="119"/>
      <c r="C197" s="119"/>
      <c r="D197" s="119"/>
      <c r="E197" s="119"/>
      <c r="F197" s="119">
        <v>7.94</v>
      </c>
      <c r="G197" s="119">
        <v>9.48644</v>
      </c>
      <c r="H197" s="119">
        <v>163.80860999999999</v>
      </c>
      <c r="I197" s="119">
        <v>166.56693000000001</v>
      </c>
      <c r="J197" s="119">
        <v>121.18855000000001</v>
      </c>
      <c r="K197" s="119">
        <v>101.51</v>
      </c>
      <c r="L197" s="119">
        <v>52.800230000000006</v>
      </c>
      <c r="M197" s="119">
        <v>49.058210000000003</v>
      </c>
      <c r="N197" s="119">
        <v>42.41</v>
      </c>
      <c r="O197" s="119">
        <v>55.449689999999997</v>
      </c>
      <c r="P197" s="119">
        <v>50.851819999999996</v>
      </c>
      <c r="Q197" s="119">
        <v>27.641500000000001</v>
      </c>
      <c r="R197" s="119">
        <v>27.88869</v>
      </c>
      <c r="S197" s="119">
        <v>27.88869</v>
      </c>
    </row>
    <row r="198" spans="1:20" s="118" customFormat="1" ht="16.149999999999999" customHeight="1" thickBot="1">
      <c r="A198" s="120" t="s">
        <v>229</v>
      </c>
      <c r="B198" s="131">
        <v>440.09</v>
      </c>
      <c r="C198" s="119">
        <v>436.94</v>
      </c>
      <c r="D198" s="119">
        <v>433.51</v>
      </c>
      <c r="E198" s="119">
        <v>394.44</v>
      </c>
      <c r="F198" s="119">
        <v>445</v>
      </c>
      <c r="G198" s="119">
        <v>466.27</v>
      </c>
      <c r="H198" s="119">
        <v>465</v>
      </c>
      <c r="I198" s="119">
        <v>460</v>
      </c>
      <c r="J198" s="119">
        <v>390</v>
      </c>
      <c r="K198" s="119">
        <v>289.12</v>
      </c>
      <c r="L198" s="119">
        <v>101.56873</v>
      </c>
      <c r="M198" s="119">
        <v>42.279609999999998</v>
      </c>
      <c r="N198" s="119">
        <v>53.75</v>
      </c>
      <c r="O198" s="119">
        <v>50</v>
      </c>
      <c r="P198" s="119">
        <v>30</v>
      </c>
      <c r="Q198" s="119">
        <v>30</v>
      </c>
      <c r="R198" s="119">
        <v>45.000500000000002</v>
      </c>
      <c r="S198" s="119">
        <v>45.000500000000002</v>
      </c>
    </row>
    <row r="199" spans="1:20" s="118" customFormat="1" ht="16.149999999999999" customHeight="1" thickBot="1">
      <c r="A199" s="130" t="s">
        <v>228</v>
      </c>
      <c r="B199" s="129">
        <f t="shared" ref="B199:G199" si="21">SUM(B178:B198)</f>
        <v>8710.3300000000017</v>
      </c>
      <c r="C199" s="129">
        <f t="shared" si="21"/>
        <v>9359.0642900000021</v>
      </c>
      <c r="D199" s="129">
        <f t="shared" si="21"/>
        <v>10470.779999999999</v>
      </c>
      <c r="E199" s="129">
        <f t="shared" si="21"/>
        <v>11420.178779999998</v>
      </c>
      <c r="F199" s="129">
        <f t="shared" si="21"/>
        <v>12933.3</v>
      </c>
      <c r="G199" s="129">
        <f t="shared" si="21"/>
        <v>14237.09635</v>
      </c>
      <c r="H199" s="135">
        <f>SUM(H178:H198)-450-30</f>
        <v>14689.728479999998</v>
      </c>
      <c r="I199" s="129">
        <f t="shared" ref="I199:S199" si="22">SUM(I178:I198)</f>
        <v>13177.185140000001</v>
      </c>
      <c r="J199" s="135">
        <f t="shared" si="22"/>
        <v>14325.165419999998</v>
      </c>
      <c r="K199" s="135">
        <f t="shared" si="22"/>
        <v>8859.0687099999996</v>
      </c>
      <c r="L199" s="129">
        <f t="shared" si="22"/>
        <v>6900.6234699999995</v>
      </c>
      <c r="M199" s="129">
        <f t="shared" si="22"/>
        <v>5965.8194900000008</v>
      </c>
      <c r="N199" s="129">
        <f t="shared" si="22"/>
        <v>5453.5499999999993</v>
      </c>
      <c r="O199" s="129">
        <f t="shared" si="22"/>
        <v>6150.0152299999991</v>
      </c>
      <c r="P199" s="129">
        <f t="shared" si="22"/>
        <v>6048.9719600000008</v>
      </c>
      <c r="Q199" s="129">
        <f t="shared" si="22"/>
        <v>5453.1443100000006</v>
      </c>
      <c r="R199" s="129">
        <f t="shared" si="22"/>
        <v>5656.5084399999978</v>
      </c>
      <c r="S199" s="129">
        <f t="shared" si="22"/>
        <v>5436.9278899999999</v>
      </c>
    </row>
    <row r="200" spans="1:20" s="118" customFormat="1" ht="16.149999999999999" customHeight="1">
      <c r="A200" s="120" t="s">
        <v>227</v>
      </c>
      <c r="B200" s="131">
        <v>68.33</v>
      </c>
      <c r="C200" s="119">
        <v>59.95675</v>
      </c>
      <c r="D200" s="119">
        <v>10.33</v>
      </c>
      <c r="E200" s="119"/>
      <c r="F200" s="119"/>
      <c r="G200" s="119"/>
      <c r="H200" s="119"/>
      <c r="I200" s="119"/>
      <c r="J200" s="119"/>
      <c r="K200" s="119"/>
      <c r="L200" s="119"/>
      <c r="M200" s="119"/>
      <c r="N200" s="119"/>
      <c r="O200" s="119"/>
      <c r="P200" s="119"/>
      <c r="Q200" s="119"/>
      <c r="R200" s="119"/>
      <c r="S200" s="131">
        <v>5.9357799999999994</v>
      </c>
    </row>
    <row r="201" spans="1:20" s="118" customFormat="1" ht="16.149999999999999" customHeight="1">
      <c r="A201" s="120" t="s">
        <v>226</v>
      </c>
      <c r="B201" s="119">
        <v>9.98</v>
      </c>
      <c r="C201" s="119">
        <v>10.824</v>
      </c>
      <c r="D201" s="119">
        <v>11.52</v>
      </c>
      <c r="E201" s="119">
        <v>11.946959999999999</v>
      </c>
      <c r="F201" s="119">
        <v>12.62</v>
      </c>
      <c r="G201" s="119">
        <v>13.400869999999999</v>
      </c>
      <c r="H201" s="119">
        <v>14.32</v>
      </c>
      <c r="I201" s="119">
        <v>14.54</v>
      </c>
      <c r="J201" s="119">
        <v>13.981030000000001</v>
      </c>
      <c r="K201" s="119">
        <v>13.2</v>
      </c>
      <c r="L201" s="119">
        <v>12.51093</v>
      </c>
      <c r="M201" s="119">
        <v>11.52055</v>
      </c>
      <c r="N201" s="119">
        <v>11.74</v>
      </c>
      <c r="O201" s="119">
        <v>12.23987</v>
      </c>
      <c r="P201" s="119">
        <v>12.61299</v>
      </c>
      <c r="Q201" s="119">
        <v>11.98564</v>
      </c>
      <c r="R201" s="119">
        <v>12.075520000000001</v>
      </c>
      <c r="S201" s="119">
        <v>12.075520000000001</v>
      </c>
    </row>
    <row r="202" spans="1:20" s="118" customFormat="1" ht="16.149999999999999" customHeight="1">
      <c r="A202" s="120" t="s">
        <v>225</v>
      </c>
      <c r="B202" s="131">
        <v>5.34</v>
      </c>
      <c r="C202" s="119">
        <v>5.5171599999999996</v>
      </c>
      <c r="D202" s="119">
        <v>6.39</v>
      </c>
      <c r="E202" s="119">
        <v>6.7124799999999993</v>
      </c>
      <c r="F202" s="119">
        <v>6.93</v>
      </c>
      <c r="G202" s="119">
        <v>7.15815</v>
      </c>
      <c r="H202" s="119">
        <v>7.6118800000000002</v>
      </c>
      <c r="I202" s="119">
        <v>7.78</v>
      </c>
      <c r="J202" s="119">
        <v>7.6234799999999998</v>
      </c>
      <c r="K202" s="119">
        <v>7.06</v>
      </c>
      <c r="L202" s="119">
        <v>6.5057</v>
      </c>
      <c r="M202" s="119">
        <v>6.2180299999999997</v>
      </c>
      <c r="N202" s="119">
        <v>6.17</v>
      </c>
      <c r="O202" s="119">
        <v>6.3732199999999999</v>
      </c>
      <c r="P202" s="119">
        <v>6.0986000000000002</v>
      </c>
      <c r="Q202" s="119">
        <v>5.9809099999999997</v>
      </c>
      <c r="R202" s="119">
        <v>5.7170200000000007</v>
      </c>
      <c r="S202" s="119">
        <v>5.7170200000000007</v>
      </c>
    </row>
    <row r="203" spans="1:20" s="118" customFormat="1" ht="16.149999999999999" customHeight="1">
      <c r="A203" s="120" t="s">
        <v>224</v>
      </c>
      <c r="B203" s="131">
        <v>385.69</v>
      </c>
      <c r="C203" s="119">
        <v>416.45011</v>
      </c>
      <c r="D203" s="119">
        <v>459.26</v>
      </c>
      <c r="E203" s="119">
        <v>515.40272000000004</v>
      </c>
      <c r="F203" s="119">
        <v>601.53</v>
      </c>
      <c r="G203" s="119">
        <v>726.45360000000005</v>
      </c>
      <c r="H203" s="119">
        <v>760.67435999999998</v>
      </c>
      <c r="I203" s="119">
        <v>975.73</v>
      </c>
      <c r="J203" s="119">
        <v>861.03068999999994</v>
      </c>
      <c r="K203" s="119">
        <v>811.15</v>
      </c>
      <c r="L203" s="119">
        <v>771.75693000000001</v>
      </c>
      <c r="M203" s="119">
        <v>689.43180000000007</v>
      </c>
      <c r="N203" s="119">
        <v>690.18</v>
      </c>
      <c r="O203" s="119">
        <v>689.00387000000001</v>
      </c>
      <c r="P203" s="119">
        <v>718.21807999999999</v>
      </c>
      <c r="Q203" s="119">
        <v>704.99557000000004</v>
      </c>
      <c r="R203" s="119">
        <v>720.52193999999997</v>
      </c>
      <c r="S203" s="119">
        <v>720.52193999999997</v>
      </c>
    </row>
    <row r="204" spans="1:20" s="118" customFormat="1" ht="16.149999999999999" customHeight="1">
      <c r="A204" s="120" t="s">
        <v>223</v>
      </c>
      <c r="B204" s="131">
        <v>340.27</v>
      </c>
      <c r="C204" s="119">
        <v>364.67647999999997</v>
      </c>
      <c r="D204" s="119">
        <v>452.02</v>
      </c>
      <c r="E204" s="119">
        <v>563.04597999999999</v>
      </c>
      <c r="F204" s="119">
        <v>1008.54</v>
      </c>
      <c r="G204" s="119">
        <v>1456.51502</v>
      </c>
      <c r="H204" s="119">
        <v>1896.42</v>
      </c>
      <c r="I204" s="119">
        <v>2069.66</v>
      </c>
      <c r="J204" s="119">
        <v>2097.0577600000001</v>
      </c>
      <c r="K204" s="119">
        <v>2139.77</v>
      </c>
      <c r="L204" s="119">
        <v>1391.55456</v>
      </c>
      <c r="M204" s="119">
        <v>1411.16129</v>
      </c>
      <c r="N204" s="119">
        <v>1464.72</v>
      </c>
      <c r="O204" s="119">
        <v>1443.09313</v>
      </c>
      <c r="P204" s="119">
        <v>1613.21532</v>
      </c>
      <c r="Q204" s="119">
        <v>3395.3495899999998</v>
      </c>
      <c r="R204" s="119">
        <v>2981.1437099999998</v>
      </c>
      <c r="S204" s="119">
        <v>2979.0256099999997</v>
      </c>
    </row>
    <row r="205" spans="1:20" s="118" customFormat="1" ht="16.149999999999999" customHeight="1">
      <c r="A205" s="120" t="s">
        <v>222</v>
      </c>
      <c r="B205" s="119">
        <v>314.04000000000002</v>
      </c>
      <c r="C205" s="119">
        <v>322.97352000000001</v>
      </c>
      <c r="D205" s="119">
        <v>303.01</v>
      </c>
      <c r="E205" s="119">
        <v>315.69142999999997</v>
      </c>
      <c r="F205" s="119">
        <v>321.98</v>
      </c>
      <c r="G205" s="119">
        <v>357.13907</v>
      </c>
      <c r="H205" s="119">
        <v>351.77071000000001</v>
      </c>
      <c r="I205" s="119">
        <v>308.72000000000003</v>
      </c>
      <c r="J205" s="119">
        <v>231.88989000000001</v>
      </c>
      <c r="K205" s="119">
        <v>203.91</v>
      </c>
      <c r="L205" s="119">
        <v>174.05670000000001</v>
      </c>
      <c r="M205" s="119">
        <v>145.23191</v>
      </c>
      <c r="N205" s="119">
        <v>163.24</v>
      </c>
      <c r="O205" s="119">
        <v>162.83233999999999</v>
      </c>
      <c r="P205" s="119">
        <v>163.70999</v>
      </c>
      <c r="Q205" s="119">
        <v>159.09003999999999</v>
      </c>
      <c r="R205" s="119">
        <v>210.97748000000001</v>
      </c>
      <c r="S205" s="119">
        <v>210.97748000000001</v>
      </c>
    </row>
    <row r="206" spans="1:20" s="118" customFormat="1" ht="16.149999999999999" customHeight="1">
      <c r="A206" s="120" t="s">
        <v>221</v>
      </c>
      <c r="B206" s="119"/>
      <c r="C206" s="119"/>
      <c r="D206" s="119"/>
      <c r="E206" s="119"/>
      <c r="F206" s="119"/>
      <c r="G206" s="119">
        <v>1225.0603900000001</v>
      </c>
      <c r="H206" s="119">
        <v>1308.5703900000001</v>
      </c>
      <c r="I206" s="119">
        <v>1149.92</v>
      </c>
      <c r="J206" s="119">
        <v>950.90860999999995</v>
      </c>
      <c r="K206" s="119">
        <v>804.14</v>
      </c>
      <c r="L206" s="119">
        <v>582.77735999999993</v>
      </c>
      <c r="M206" s="119">
        <v>218.15251999999998</v>
      </c>
      <c r="N206" s="119">
        <v>343.6</v>
      </c>
      <c r="O206" s="119">
        <v>563.92575999999997</v>
      </c>
      <c r="P206" s="119">
        <v>468.13898999999998</v>
      </c>
      <c r="Q206" s="119">
        <v>302.35700000000003</v>
      </c>
      <c r="R206" s="119">
        <v>467.61</v>
      </c>
      <c r="S206" s="119">
        <v>467.61</v>
      </c>
      <c r="T206" s="169"/>
    </row>
    <row r="207" spans="1:20" s="118" customFormat="1" ht="16.149999999999999" customHeight="1">
      <c r="A207" s="120" t="s">
        <v>220</v>
      </c>
      <c r="B207" s="119"/>
      <c r="C207" s="119"/>
      <c r="D207" s="119"/>
      <c r="E207" s="119"/>
      <c r="F207" s="119"/>
      <c r="G207" s="119"/>
      <c r="H207" s="119"/>
      <c r="I207" s="119"/>
      <c r="J207" s="119"/>
      <c r="K207" s="119">
        <v>1.25</v>
      </c>
      <c r="L207" s="119">
        <v>0.85</v>
      </c>
      <c r="M207" s="119"/>
      <c r="N207" s="119"/>
      <c r="O207" s="119"/>
      <c r="P207" s="119"/>
      <c r="Q207" s="119"/>
      <c r="R207" s="119"/>
      <c r="S207" s="119"/>
    </row>
    <row r="208" spans="1:20" s="118" customFormat="1" ht="16.149999999999999" customHeight="1">
      <c r="A208" s="120" t="s">
        <v>219</v>
      </c>
      <c r="B208" s="131">
        <v>120.65</v>
      </c>
      <c r="C208" s="119">
        <v>197.3716</v>
      </c>
      <c r="D208" s="119">
        <v>222.37</v>
      </c>
      <c r="E208" s="119">
        <v>243.81272000000001</v>
      </c>
      <c r="F208" s="119">
        <v>287.06</v>
      </c>
      <c r="G208" s="119">
        <v>333.80484000000001</v>
      </c>
      <c r="H208" s="119">
        <v>417.24684000000002</v>
      </c>
      <c r="I208" s="119">
        <v>423.7</v>
      </c>
      <c r="J208" s="119">
        <v>386.41237999999998</v>
      </c>
      <c r="K208" s="119">
        <v>327.52999999999997</v>
      </c>
      <c r="L208" s="119">
        <v>298.86439000000001</v>
      </c>
      <c r="M208" s="119">
        <v>281.96591999999998</v>
      </c>
      <c r="N208" s="119">
        <v>286.76</v>
      </c>
      <c r="O208" s="119">
        <v>273.82083</v>
      </c>
      <c r="P208" s="119">
        <v>272.12890000000004</v>
      </c>
      <c r="Q208" s="119">
        <v>269.95738</v>
      </c>
      <c r="R208" s="119">
        <v>270.84712999999999</v>
      </c>
      <c r="S208" s="119">
        <v>270.84712999999999</v>
      </c>
    </row>
    <row r="209" spans="1:19" s="118" customFormat="1" ht="16.149999999999999" customHeight="1">
      <c r="A209" s="120" t="s">
        <v>218</v>
      </c>
      <c r="B209" s="119">
        <v>4.51</v>
      </c>
      <c r="C209" s="119">
        <v>4.6305699999999996</v>
      </c>
      <c r="D209" s="119">
        <v>4.91</v>
      </c>
      <c r="E209" s="119">
        <v>4.9518500000000003</v>
      </c>
      <c r="F209" s="119">
        <v>5.3290499999999996</v>
      </c>
      <c r="G209" s="119">
        <v>5.5225900000000001</v>
      </c>
      <c r="H209" s="119">
        <v>5.7647599999999999</v>
      </c>
      <c r="I209" s="119">
        <v>6.72</v>
      </c>
      <c r="J209" s="119">
        <v>5.1263199999999998</v>
      </c>
      <c r="K209" s="119">
        <v>26.83</v>
      </c>
      <c r="L209" s="119">
        <v>5.5888400000000003</v>
      </c>
      <c r="M209" s="119"/>
      <c r="N209" s="119"/>
      <c r="O209" s="119"/>
      <c r="P209" s="119"/>
      <c r="Q209" s="119"/>
      <c r="R209" s="119"/>
      <c r="S209" s="119"/>
    </row>
    <row r="210" spans="1:19" s="118" customFormat="1" ht="16.149999999999999" customHeight="1">
      <c r="A210" s="120" t="s">
        <v>217</v>
      </c>
      <c r="B210" s="131">
        <v>10.039999999999999</v>
      </c>
      <c r="C210" s="119">
        <v>11.54809</v>
      </c>
      <c r="D210" s="119">
        <v>12.3</v>
      </c>
      <c r="E210" s="119">
        <v>13.48949</v>
      </c>
      <c r="F210" s="119">
        <v>15.06</v>
      </c>
      <c r="G210" s="119">
        <v>15.92578</v>
      </c>
      <c r="H210" s="119">
        <v>18.831939999999999</v>
      </c>
      <c r="I210" s="119">
        <v>21.15</v>
      </c>
      <c r="J210" s="119">
        <v>20.929959999999998</v>
      </c>
      <c r="K210" s="119">
        <v>20.09</v>
      </c>
      <c r="L210" s="119">
        <v>16.58719</v>
      </c>
      <c r="M210" s="119">
        <v>16.58719</v>
      </c>
      <c r="N210" s="119">
        <v>0</v>
      </c>
      <c r="O210" s="119"/>
      <c r="P210" s="119"/>
      <c r="Q210" s="119"/>
      <c r="R210" s="119"/>
      <c r="S210" s="119"/>
    </row>
    <row r="211" spans="1:19" s="118" customFormat="1" ht="16.149999999999999" customHeight="1">
      <c r="A211" s="120" t="s">
        <v>216</v>
      </c>
      <c r="B211" s="131">
        <v>3.7</v>
      </c>
      <c r="C211" s="119">
        <v>3.8204099999999999</v>
      </c>
      <c r="D211" s="119">
        <v>3.55</v>
      </c>
      <c r="E211" s="119">
        <v>1.4076</v>
      </c>
      <c r="F211" s="119">
        <v>10.151540000000001</v>
      </c>
      <c r="G211" s="119">
        <v>14.303990000000001</v>
      </c>
      <c r="H211" s="119">
        <v>93.27</v>
      </c>
      <c r="I211" s="119">
        <v>107.19</v>
      </c>
      <c r="J211" s="119">
        <v>4.6178999999999997</v>
      </c>
      <c r="K211" s="119">
        <v>4.42</v>
      </c>
      <c r="L211" s="119">
        <v>0.93289999999999995</v>
      </c>
      <c r="M211" s="119">
        <v>0.7329</v>
      </c>
      <c r="N211" s="119">
        <v>0.34</v>
      </c>
      <c r="O211" s="119">
        <v>0.34</v>
      </c>
      <c r="P211" s="119">
        <v>0.96</v>
      </c>
      <c r="Q211" s="119">
        <v>0.96</v>
      </c>
      <c r="R211" s="119">
        <v>0.96</v>
      </c>
      <c r="S211" s="119">
        <v>0.96</v>
      </c>
    </row>
    <row r="212" spans="1:19" s="118" customFormat="1" ht="16.149999999999999" customHeight="1">
      <c r="A212" s="120" t="s">
        <v>215</v>
      </c>
      <c r="B212" s="131">
        <v>2005.61</v>
      </c>
      <c r="C212" s="119">
        <v>2009.4091899999999</v>
      </c>
      <c r="D212" s="119">
        <v>2194.19</v>
      </c>
      <c r="E212" s="119">
        <v>2621.4989500000001</v>
      </c>
      <c r="F212" s="119">
        <v>2983.86</v>
      </c>
      <c r="G212" s="119">
        <v>2146.9798599999999</v>
      </c>
      <c r="H212" s="119">
        <v>2563.4299999999998</v>
      </c>
      <c r="I212" s="119">
        <v>2678.57</v>
      </c>
      <c r="J212" s="119">
        <v>2898.7332700000002</v>
      </c>
      <c r="K212" s="119">
        <v>2834.24</v>
      </c>
      <c r="L212" s="119">
        <v>2063.69812</v>
      </c>
      <c r="M212" s="119">
        <v>2243.5796099999998</v>
      </c>
      <c r="N212" s="119">
        <v>2235.2399999999998</v>
      </c>
      <c r="O212" s="119">
        <v>2203.5170800000001</v>
      </c>
      <c r="P212" s="119">
        <v>2114.6495399999999</v>
      </c>
      <c r="Q212" s="119">
        <v>760.70060000000001</v>
      </c>
      <c r="R212" s="119">
        <v>1459.6540600000001</v>
      </c>
      <c r="S212" s="119">
        <v>1459.6540600000001</v>
      </c>
    </row>
    <row r="213" spans="1:19" s="118" customFormat="1" ht="16.149999999999999" customHeight="1">
      <c r="A213" s="120" t="s">
        <v>214</v>
      </c>
      <c r="B213" s="131">
        <v>50.77</v>
      </c>
      <c r="C213" s="119">
        <v>51.712150000000001</v>
      </c>
      <c r="D213" s="119">
        <v>54.46</v>
      </c>
      <c r="E213" s="119">
        <v>57.931040000000003</v>
      </c>
      <c r="F213" s="119">
        <v>64.180000000000007</v>
      </c>
      <c r="G213" s="119">
        <v>71.160409999999999</v>
      </c>
      <c r="H213" s="119">
        <v>83.156689999999998</v>
      </c>
      <c r="I213" s="119">
        <v>81.88</v>
      </c>
      <c r="J213" s="119">
        <v>80.835279999999997</v>
      </c>
      <c r="K213" s="119">
        <v>79.260000000000005</v>
      </c>
      <c r="L213" s="119">
        <v>75.508039999999994</v>
      </c>
      <c r="M213" s="119">
        <v>69.39197999999999</v>
      </c>
      <c r="N213" s="119">
        <v>76.89</v>
      </c>
      <c r="O213" s="119">
        <v>77.895480000000006</v>
      </c>
      <c r="P213" s="119">
        <v>79.867509999999996</v>
      </c>
      <c r="Q213" s="119">
        <v>53.641869999999997</v>
      </c>
      <c r="R213" s="119">
        <v>53.151989999999998</v>
      </c>
      <c r="S213" s="119">
        <v>52.62021</v>
      </c>
    </row>
    <row r="214" spans="1:19" s="118" customFormat="1" ht="16.149999999999999" customHeight="1">
      <c r="A214" s="120" t="s">
        <v>213</v>
      </c>
      <c r="B214" s="131">
        <v>35.799999999999997</v>
      </c>
      <c r="C214" s="119">
        <v>36.496230000000004</v>
      </c>
      <c r="D214" s="119">
        <v>38.15</v>
      </c>
      <c r="E214" s="119">
        <v>42.160910000000001</v>
      </c>
      <c r="F214" s="119">
        <v>49.36</v>
      </c>
      <c r="G214" s="119">
        <v>52.118319999999997</v>
      </c>
      <c r="H214" s="119">
        <v>68.048910000000006</v>
      </c>
      <c r="I214" s="119">
        <v>65.75</v>
      </c>
      <c r="J214" s="119">
        <v>61.211669999999998</v>
      </c>
      <c r="K214" s="119">
        <v>60.22</v>
      </c>
      <c r="L214" s="119">
        <v>58.159730000000003</v>
      </c>
      <c r="M214" s="119">
        <v>56.754750000000001</v>
      </c>
      <c r="N214" s="119">
        <v>60.19</v>
      </c>
      <c r="O214" s="119">
        <v>60.57658</v>
      </c>
      <c r="P214" s="119">
        <v>64.76133999999999</v>
      </c>
      <c r="Q214" s="119">
        <v>60.036340000000003</v>
      </c>
      <c r="R214" s="119">
        <v>60.582889999999999</v>
      </c>
      <c r="S214" s="119">
        <v>60.582889999999999</v>
      </c>
    </row>
    <row r="215" spans="1:19" s="118" customFormat="1" ht="16.149999999999999" customHeight="1">
      <c r="A215" s="120" t="s">
        <v>212</v>
      </c>
      <c r="B215" s="131">
        <v>25.29</v>
      </c>
      <c r="C215" s="119">
        <v>26.696900000000003</v>
      </c>
      <c r="D215" s="119">
        <v>38.619999999999997</v>
      </c>
      <c r="E215" s="119">
        <v>42.147120000000001</v>
      </c>
      <c r="F215" s="119">
        <v>47.95</v>
      </c>
      <c r="G215" s="119">
        <v>66.523139999999998</v>
      </c>
      <c r="H215" s="119">
        <v>76.330550000000002</v>
      </c>
      <c r="I215" s="119">
        <v>94.55</v>
      </c>
      <c r="J215" s="119">
        <v>31.140319999999999</v>
      </c>
      <c r="K215" s="119">
        <v>26.4</v>
      </c>
      <c r="L215" s="119">
        <v>25.97139</v>
      </c>
      <c r="M215" s="119">
        <v>25.111689999999999</v>
      </c>
      <c r="N215" s="119">
        <v>24.96</v>
      </c>
      <c r="O215" s="119">
        <v>24.607320000000001</v>
      </c>
      <c r="P215" s="119">
        <v>24.617169999999998</v>
      </c>
      <c r="Q215" s="119">
        <v>23.592169999999999</v>
      </c>
      <c r="R215" s="119">
        <v>23.483340000000002</v>
      </c>
      <c r="S215" s="119">
        <v>23.354050000000001</v>
      </c>
    </row>
    <row r="216" spans="1:19" s="118" customFormat="1" ht="16.149999999999999" customHeight="1">
      <c r="A216" s="120" t="s">
        <v>211</v>
      </c>
      <c r="B216" s="131">
        <v>411.93</v>
      </c>
      <c r="C216" s="119">
        <v>412.08949999999999</v>
      </c>
      <c r="D216" s="119">
        <v>369.45</v>
      </c>
      <c r="E216" s="119">
        <v>373.10603000000003</v>
      </c>
      <c r="F216" s="119">
        <v>503.64</v>
      </c>
      <c r="G216" s="119">
        <v>687.75085999999999</v>
      </c>
      <c r="H216" s="119">
        <v>845.67692</v>
      </c>
      <c r="I216" s="119">
        <v>436.74</v>
      </c>
      <c r="J216" s="119">
        <v>524.54935</v>
      </c>
      <c r="K216" s="119">
        <v>418.67</v>
      </c>
      <c r="L216" s="119">
        <v>145.90460000000002</v>
      </c>
      <c r="M216" s="119">
        <v>106.0402</v>
      </c>
      <c r="N216" s="119">
        <v>110.22</v>
      </c>
      <c r="O216" s="119">
        <v>125.66365999999999</v>
      </c>
      <c r="P216" s="119">
        <v>126.25547</v>
      </c>
      <c r="Q216" s="119">
        <v>130.95839000000001</v>
      </c>
      <c r="R216" s="119">
        <v>140.41601</v>
      </c>
      <c r="S216" s="119">
        <v>146.17343</v>
      </c>
    </row>
    <row r="217" spans="1:19" s="118" customFormat="1" ht="16.149999999999999" customHeight="1">
      <c r="A217" s="120" t="s">
        <v>210</v>
      </c>
      <c r="B217" s="131"/>
      <c r="C217" s="119">
        <v>66.844940000000008</v>
      </c>
      <c r="D217" s="119">
        <v>72.98</v>
      </c>
      <c r="E217" s="119">
        <v>81.330309999999997</v>
      </c>
      <c r="F217" s="119">
        <v>94.09</v>
      </c>
      <c r="G217" s="119">
        <v>123.86972</v>
      </c>
      <c r="H217" s="119">
        <v>111.06001000000001</v>
      </c>
      <c r="I217" s="119">
        <v>116.28</v>
      </c>
      <c r="J217" s="119">
        <v>91.563520000000011</v>
      </c>
      <c r="K217" s="119">
        <v>86.56</v>
      </c>
      <c r="L217" s="119">
        <v>83.899429999999995</v>
      </c>
      <c r="M217" s="119">
        <v>82.664070000000009</v>
      </c>
      <c r="N217" s="119">
        <v>83.42</v>
      </c>
      <c r="O217" s="119">
        <v>92.855590000000007</v>
      </c>
      <c r="P217" s="119">
        <v>89.759539999999987</v>
      </c>
      <c r="Q217" s="119">
        <v>87.254679999999993</v>
      </c>
      <c r="R217" s="119">
        <v>89.979230000000001</v>
      </c>
      <c r="S217" s="119">
        <v>88.76473</v>
      </c>
    </row>
    <row r="218" spans="1:19" s="118" customFormat="1" ht="16.149999999999999" customHeight="1" thickBot="1">
      <c r="A218" s="120" t="s">
        <v>209</v>
      </c>
      <c r="C218" s="119">
        <v>0</v>
      </c>
      <c r="D218" s="119">
        <v>106.53</v>
      </c>
      <c r="E218" s="119">
        <v>123.4778</v>
      </c>
      <c r="F218" s="119">
        <v>537.04999999999995</v>
      </c>
      <c r="G218" s="119">
        <v>819.07</v>
      </c>
      <c r="H218" s="119">
        <v>800.45389</v>
      </c>
      <c r="I218" s="119">
        <v>1102.92</v>
      </c>
      <c r="J218" s="119">
        <v>1003.1668199999999</v>
      </c>
      <c r="K218" s="119">
        <v>721.67</v>
      </c>
      <c r="L218" s="119">
        <v>671.75454999999999</v>
      </c>
      <c r="M218" s="119">
        <v>561.29376000000002</v>
      </c>
      <c r="N218" s="119">
        <v>582.17999999999995</v>
      </c>
      <c r="O218" s="119">
        <v>658.40601000000004</v>
      </c>
      <c r="P218" s="119">
        <v>670.16882999999996</v>
      </c>
      <c r="Q218" s="119">
        <v>535.76044999999999</v>
      </c>
      <c r="R218" s="119">
        <v>552.95443999999998</v>
      </c>
      <c r="S218" s="119">
        <v>552.95443999999998</v>
      </c>
    </row>
    <row r="219" spans="1:19" s="118" customFormat="1" ht="16.149999999999999" customHeight="1" thickBot="1">
      <c r="A219" s="130" t="s">
        <v>208</v>
      </c>
      <c r="B219" s="129">
        <f t="shared" ref="B219:G219" si="23">SUM(B200:B218)</f>
        <v>3791.95</v>
      </c>
      <c r="C219" s="129">
        <f t="shared" si="23"/>
        <v>4001.0176000000001</v>
      </c>
      <c r="D219" s="129">
        <f t="shared" si="23"/>
        <v>4360.04</v>
      </c>
      <c r="E219" s="129">
        <f t="shared" si="23"/>
        <v>5018.1133899999995</v>
      </c>
      <c r="F219" s="129">
        <f t="shared" si="23"/>
        <v>6549.3305899999996</v>
      </c>
      <c r="G219" s="129">
        <f t="shared" si="23"/>
        <v>8122.7566100000004</v>
      </c>
      <c r="H219" s="129">
        <f>SUM(H200:H218)-85.68</f>
        <v>9336.9578499999989</v>
      </c>
      <c r="I219" s="129">
        <f t="shared" ref="I219:S219" si="24">SUM(I200:I218)</f>
        <v>9661.8000000000011</v>
      </c>
      <c r="J219" s="129">
        <f t="shared" si="24"/>
        <v>9270.778250000003</v>
      </c>
      <c r="K219" s="129">
        <f t="shared" si="24"/>
        <v>8586.369999999999</v>
      </c>
      <c r="L219" s="129">
        <f t="shared" si="24"/>
        <v>6386.8813599999994</v>
      </c>
      <c r="M219" s="129">
        <f t="shared" si="24"/>
        <v>5925.8381700000009</v>
      </c>
      <c r="N219" s="129">
        <f t="shared" si="24"/>
        <v>6139.85</v>
      </c>
      <c r="O219" s="129">
        <f t="shared" si="24"/>
        <v>6395.15074</v>
      </c>
      <c r="P219" s="129">
        <f t="shared" si="24"/>
        <v>6425.1622699999998</v>
      </c>
      <c r="Q219" s="129">
        <f t="shared" si="24"/>
        <v>6502.6206299999994</v>
      </c>
      <c r="R219" s="129">
        <f t="shared" si="24"/>
        <v>7050.0747599999995</v>
      </c>
      <c r="S219" s="129">
        <f t="shared" si="24"/>
        <v>7057.7742899999994</v>
      </c>
    </row>
    <row r="220" spans="1:19" s="118" customFormat="1" ht="16.149999999999999" customHeight="1">
      <c r="A220" s="120" t="s">
        <v>207</v>
      </c>
      <c r="B220" s="119">
        <v>74.45</v>
      </c>
      <c r="C220" s="119">
        <v>77.805520000000001</v>
      </c>
      <c r="D220" s="119">
        <v>32.799999999999997</v>
      </c>
      <c r="E220" s="119">
        <v>33.597910000000006</v>
      </c>
      <c r="F220" s="119">
        <v>33.840000000000003</v>
      </c>
      <c r="G220" s="119">
        <v>33.994419999999998</v>
      </c>
      <c r="H220" s="119">
        <v>41.024560000000001</v>
      </c>
      <c r="I220" s="119">
        <v>41.47</v>
      </c>
      <c r="J220" s="119">
        <v>35.984110000000001</v>
      </c>
      <c r="K220" s="119">
        <v>30.12</v>
      </c>
      <c r="L220" s="119">
        <v>70.814149999999998</v>
      </c>
      <c r="M220" s="119">
        <v>35.062470000000005</v>
      </c>
      <c r="N220" s="119">
        <v>27.88</v>
      </c>
      <c r="O220" s="119">
        <v>304.98351000000002</v>
      </c>
      <c r="P220" s="119">
        <v>27.472799999999999</v>
      </c>
      <c r="Q220" s="119">
        <v>28.674769999999999</v>
      </c>
      <c r="R220" s="119">
        <v>29.11769</v>
      </c>
      <c r="S220" s="119">
        <v>29.11769</v>
      </c>
    </row>
    <row r="221" spans="1:19" s="118" customFormat="1" ht="16.149999999999999" customHeight="1">
      <c r="A221" s="120" t="s">
        <v>206</v>
      </c>
      <c r="B221" s="119">
        <v>151.86000000000001</v>
      </c>
      <c r="C221" s="119">
        <v>87.972089999999994</v>
      </c>
      <c r="D221" s="119">
        <v>108.76</v>
      </c>
      <c r="E221" s="119">
        <v>109.46162</v>
      </c>
      <c r="F221" s="119">
        <v>110.67</v>
      </c>
      <c r="G221" s="119">
        <v>96.537329999999997</v>
      </c>
      <c r="H221" s="119">
        <v>100.42809</v>
      </c>
      <c r="I221" s="119">
        <v>80.81</v>
      </c>
      <c r="J221" s="119">
        <v>80.039029999999997</v>
      </c>
      <c r="K221" s="119">
        <v>70.39</v>
      </c>
      <c r="L221" s="119">
        <v>0.502</v>
      </c>
      <c r="M221" s="119">
        <v>318.93</v>
      </c>
      <c r="N221" s="119">
        <v>518.70000000000005</v>
      </c>
      <c r="O221" s="119">
        <v>180.71</v>
      </c>
      <c r="P221" s="119">
        <v>180.79</v>
      </c>
      <c r="Q221" s="119">
        <v>59.49</v>
      </c>
      <c r="R221" s="119">
        <v>120.79</v>
      </c>
      <c r="S221" s="119">
        <v>120.79</v>
      </c>
    </row>
    <row r="222" spans="1:19" s="118" customFormat="1" ht="16.149999999999999" customHeight="1">
      <c r="A222" s="120" t="s">
        <v>205</v>
      </c>
      <c r="B222" s="131">
        <v>2.29</v>
      </c>
      <c r="C222" s="119">
        <v>7.2255500000000001</v>
      </c>
      <c r="D222" s="119">
        <v>8.2200000000000006</v>
      </c>
      <c r="E222" s="119">
        <v>8.131590000000001</v>
      </c>
      <c r="F222" s="119">
        <v>8.27</v>
      </c>
      <c r="G222" s="119">
        <v>8.9768299999999996</v>
      </c>
      <c r="H222" s="119">
        <v>10.503500000000001</v>
      </c>
      <c r="I222" s="119">
        <v>12.26</v>
      </c>
      <c r="J222" s="119">
        <v>13.260479999999999</v>
      </c>
      <c r="K222" s="119">
        <v>12.65</v>
      </c>
      <c r="L222" s="119">
        <v>12.761809999999999</v>
      </c>
      <c r="M222" s="119">
        <v>12.6799</v>
      </c>
      <c r="N222" s="119">
        <v>52.77</v>
      </c>
      <c r="O222" s="119">
        <v>59.708889999999997</v>
      </c>
      <c r="P222" s="119">
        <v>60.01961</v>
      </c>
      <c r="Q222" s="119">
        <v>58.414819999999999</v>
      </c>
      <c r="R222" s="119">
        <v>59.986699999999999</v>
      </c>
      <c r="S222" s="119">
        <v>59.986699999999999</v>
      </c>
    </row>
    <row r="223" spans="1:19" s="118" customFormat="1" ht="16.149999999999999" customHeight="1">
      <c r="A223" s="120" t="s">
        <v>204</v>
      </c>
      <c r="B223" s="131">
        <v>9.93</v>
      </c>
      <c r="C223" s="119">
        <v>9.8596699999999995</v>
      </c>
      <c r="D223" s="119">
        <v>10.55</v>
      </c>
      <c r="E223" s="119">
        <v>10.913780000000001</v>
      </c>
      <c r="F223" s="119">
        <v>11.98</v>
      </c>
      <c r="G223" s="119">
        <v>10.501150000000001</v>
      </c>
      <c r="H223" s="119">
        <v>10.65629</v>
      </c>
      <c r="I223" s="119">
        <v>10.69</v>
      </c>
      <c r="J223" s="119">
        <v>10.256680000000001</v>
      </c>
      <c r="K223" s="119">
        <v>9.3699999999999992</v>
      </c>
      <c r="L223" s="119">
        <v>8.9052999999999987</v>
      </c>
      <c r="M223" s="119">
        <v>8.7564299999999999</v>
      </c>
      <c r="N223" s="119">
        <v>8.73</v>
      </c>
      <c r="O223" s="119">
        <v>8.3589400000000005</v>
      </c>
      <c r="P223" s="119">
        <v>8.1481999999999992</v>
      </c>
      <c r="Q223" s="119">
        <v>8.1481999999999992</v>
      </c>
      <c r="R223" s="119">
        <v>7.3873199999999999</v>
      </c>
      <c r="S223" s="119">
        <v>7.3873199999999999</v>
      </c>
    </row>
    <row r="224" spans="1:19" s="118" customFormat="1" ht="16.149999999999999" customHeight="1">
      <c r="A224" s="120" t="s">
        <v>203</v>
      </c>
      <c r="B224" s="131">
        <v>12</v>
      </c>
      <c r="C224" s="119">
        <v>15.136290000000001</v>
      </c>
      <c r="D224" s="119">
        <v>16.96</v>
      </c>
      <c r="E224" s="119">
        <v>17.463459999999998</v>
      </c>
      <c r="F224" s="119">
        <v>17.93</v>
      </c>
      <c r="G224" s="119">
        <v>19.84525</v>
      </c>
      <c r="H224" s="119">
        <v>43.971609999999998</v>
      </c>
      <c r="I224" s="119">
        <v>29.23</v>
      </c>
      <c r="J224" s="119">
        <v>24.972549999999998</v>
      </c>
      <c r="K224" s="119">
        <v>22.87</v>
      </c>
      <c r="L224" s="119">
        <v>19.368560000000002</v>
      </c>
      <c r="M224" s="119">
        <v>16.598980000000001</v>
      </c>
      <c r="N224" s="119">
        <v>16.45</v>
      </c>
      <c r="O224" s="119">
        <v>12.816229999999999</v>
      </c>
      <c r="P224" s="119">
        <v>13.04552</v>
      </c>
      <c r="Q224" s="119">
        <v>16.54552</v>
      </c>
      <c r="R224" s="119">
        <v>13.76235</v>
      </c>
      <c r="S224" s="119">
        <v>13.76235</v>
      </c>
    </row>
    <row r="225" spans="1:19" s="118" customFormat="1" ht="16.149999999999999" customHeight="1">
      <c r="A225" s="120" t="s">
        <v>202</v>
      </c>
      <c r="B225" s="131">
        <v>411.58</v>
      </c>
      <c r="C225" s="119">
        <v>469.64920000000001</v>
      </c>
      <c r="D225" s="119">
        <v>426.12</v>
      </c>
      <c r="E225" s="119">
        <v>396.25232</v>
      </c>
      <c r="F225" s="119">
        <v>286.87</v>
      </c>
      <c r="G225" s="119">
        <v>224.96269000000001</v>
      </c>
      <c r="H225" s="119">
        <v>238.17392000000001</v>
      </c>
      <c r="I225" s="119">
        <v>213.23</v>
      </c>
      <c r="J225" s="119">
        <v>293.65278000000001</v>
      </c>
      <c r="K225" s="119">
        <v>293.27</v>
      </c>
      <c r="L225" s="119">
        <v>293.06758000000002</v>
      </c>
      <c r="M225" s="119">
        <v>238.06894</v>
      </c>
      <c r="N225" s="119">
        <v>230.76</v>
      </c>
      <c r="O225" s="119">
        <v>13.733370000000001</v>
      </c>
      <c r="P225" s="119">
        <v>15.622200000000001</v>
      </c>
      <c r="Q225" s="119">
        <v>13.99737</v>
      </c>
      <c r="R225" s="119">
        <v>15.704700000000001</v>
      </c>
      <c r="S225" s="119">
        <v>15.704700000000001</v>
      </c>
    </row>
    <row r="226" spans="1:19" s="118" customFormat="1" ht="16.149999999999999" customHeight="1">
      <c r="A226" s="120" t="s">
        <v>201</v>
      </c>
      <c r="B226" s="131">
        <v>4.1399999999999997</v>
      </c>
      <c r="C226" s="119">
        <v>1.6093900000000001</v>
      </c>
      <c r="D226" s="119">
        <v>1.76</v>
      </c>
      <c r="E226" s="119">
        <v>1.80515</v>
      </c>
      <c r="F226" s="119">
        <v>1.73</v>
      </c>
      <c r="G226" s="119">
        <v>1.4930399999999999</v>
      </c>
      <c r="H226" s="119">
        <v>1.65001</v>
      </c>
      <c r="I226" s="119">
        <v>1.43</v>
      </c>
      <c r="J226" s="119">
        <v>1.5856199999999998</v>
      </c>
      <c r="K226" s="119"/>
      <c r="L226" s="119"/>
      <c r="M226" s="119"/>
      <c r="N226" s="119"/>
      <c r="O226" s="119"/>
      <c r="P226" s="119"/>
      <c r="Q226" s="119"/>
      <c r="R226" s="119"/>
      <c r="S226" s="119"/>
    </row>
    <row r="227" spans="1:19" s="118" customFormat="1" ht="16.149999999999999" customHeight="1">
      <c r="A227" s="120" t="s">
        <v>200</v>
      </c>
      <c r="B227" s="131">
        <v>3.72</v>
      </c>
      <c r="C227" s="119">
        <v>3.7791300000000003</v>
      </c>
      <c r="D227" s="119">
        <v>6.92</v>
      </c>
      <c r="E227" s="119">
        <v>7.3692099999999998</v>
      </c>
      <c r="F227" s="119">
        <v>7.4</v>
      </c>
      <c r="G227" s="119">
        <v>7.5268800000000002</v>
      </c>
      <c r="H227" s="119">
        <v>7.7881499999999999</v>
      </c>
      <c r="I227" s="119">
        <v>7.97</v>
      </c>
      <c r="J227" s="119">
        <v>7.7213500000000002</v>
      </c>
      <c r="K227" s="119">
        <v>7.27</v>
      </c>
      <c r="L227" s="119">
        <v>7.3101400000000005</v>
      </c>
      <c r="M227" s="119">
        <v>8.3101399999999988</v>
      </c>
      <c r="N227" s="119">
        <v>8.73</v>
      </c>
      <c r="O227" s="119">
        <v>8.7593700000000005</v>
      </c>
      <c r="P227" s="119">
        <v>8.0402500000000003</v>
      </c>
      <c r="Q227" s="119">
        <v>7.9960899999999997</v>
      </c>
      <c r="R227" s="119">
        <v>8.1296300000000006</v>
      </c>
      <c r="S227" s="119">
        <v>8.1296300000000006</v>
      </c>
    </row>
    <row r="228" spans="1:19" s="118" customFormat="1" ht="16.149999999999999" customHeight="1">
      <c r="A228" s="120" t="s">
        <v>199</v>
      </c>
      <c r="B228" s="131">
        <v>53.33</v>
      </c>
      <c r="C228" s="119">
        <v>60.164029999999997</v>
      </c>
      <c r="D228" s="119">
        <v>63.05</v>
      </c>
      <c r="E228" s="119">
        <v>63.81615</v>
      </c>
      <c r="F228" s="119">
        <v>69.87</v>
      </c>
      <c r="G228" s="119">
        <v>73.165180000000007</v>
      </c>
      <c r="H228" s="119">
        <v>70.395020000000002</v>
      </c>
      <c r="I228" s="119">
        <v>56.19</v>
      </c>
      <c r="J228" s="119">
        <v>54.496650000000002</v>
      </c>
      <c r="K228" s="119">
        <v>46.81</v>
      </c>
      <c r="L228" s="119">
        <v>42.460589999999996</v>
      </c>
      <c r="M228" s="119">
        <v>36.074300000000001</v>
      </c>
      <c r="N228" s="119">
        <v>34.72</v>
      </c>
      <c r="O228" s="119">
        <v>33.709870000000002</v>
      </c>
      <c r="P228" s="119">
        <v>35.231859999999998</v>
      </c>
      <c r="Q228" s="119">
        <v>50.61721</v>
      </c>
      <c r="R228" s="119">
        <v>52.790010000000002</v>
      </c>
      <c r="S228" s="119">
        <v>52.790010000000002</v>
      </c>
    </row>
    <row r="229" spans="1:19" s="118" customFormat="1" ht="16.149999999999999" customHeight="1">
      <c r="A229" s="120" t="s">
        <v>198</v>
      </c>
      <c r="B229" s="131">
        <v>34.51</v>
      </c>
      <c r="C229" s="119">
        <v>36.512180000000001</v>
      </c>
      <c r="D229" s="119">
        <v>38.630000000000003</v>
      </c>
      <c r="E229" s="119">
        <v>47.175470000000004</v>
      </c>
      <c r="F229" s="119">
        <v>49.72</v>
      </c>
      <c r="G229" s="119">
        <v>52.111350000000002</v>
      </c>
      <c r="H229" s="119">
        <v>49.571399999999997</v>
      </c>
      <c r="I229" s="119">
        <v>49.55</v>
      </c>
      <c r="J229" s="119">
        <v>49.756689999999999</v>
      </c>
      <c r="K229" s="119">
        <v>43.78</v>
      </c>
      <c r="L229" s="119">
        <v>34.897300000000001</v>
      </c>
      <c r="M229" s="119">
        <v>32.103209999999997</v>
      </c>
      <c r="N229" s="119">
        <v>31.09</v>
      </c>
      <c r="O229" s="119">
        <v>30.8508</v>
      </c>
      <c r="P229" s="119">
        <v>31.92961</v>
      </c>
      <c r="Q229" s="119">
        <v>32.383240000000001</v>
      </c>
      <c r="R229" s="119">
        <v>35.328780000000002</v>
      </c>
      <c r="S229" s="119">
        <v>35.327489999999997</v>
      </c>
    </row>
    <row r="230" spans="1:19" s="118" customFormat="1" ht="16.149999999999999" customHeight="1">
      <c r="A230" s="120" t="s">
        <v>197</v>
      </c>
      <c r="B230" s="131">
        <v>84.45</v>
      </c>
      <c r="C230" s="119">
        <v>88.476470000000006</v>
      </c>
      <c r="D230" s="119">
        <v>92.23</v>
      </c>
      <c r="E230" s="119">
        <v>99.800299999999993</v>
      </c>
      <c r="F230" s="119">
        <v>102.64</v>
      </c>
      <c r="G230" s="119">
        <v>104.83337</v>
      </c>
      <c r="H230" s="119">
        <v>106.51882999999999</v>
      </c>
      <c r="I230" s="119">
        <v>118.16</v>
      </c>
      <c r="J230" s="119">
        <v>109.51769</v>
      </c>
      <c r="K230" s="119">
        <v>122.8</v>
      </c>
      <c r="L230" s="119">
        <v>87.325580000000002</v>
      </c>
      <c r="M230" s="119">
        <v>82.69256</v>
      </c>
      <c r="N230" s="119">
        <v>82.69</v>
      </c>
      <c r="O230" s="119">
        <v>120.12412999999999</v>
      </c>
      <c r="P230" s="119">
        <v>121.9958</v>
      </c>
      <c r="Q230" s="119">
        <v>126.29315</v>
      </c>
      <c r="R230" s="119">
        <v>128.95786000000001</v>
      </c>
      <c r="S230" s="119">
        <v>128.95786000000001</v>
      </c>
    </row>
    <row r="231" spans="1:19" s="118" customFormat="1" ht="16.149999999999999" customHeight="1">
      <c r="A231" s="120" t="s">
        <v>196</v>
      </c>
      <c r="B231" s="131">
        <v>6.37</v>
      </c>
      <c r="C231" s="119">
        <v>6.57531</v>
      </c>
      <c r="D231" s="119">
        <v>6.88</v>
      </c>
      <c r="E231" s="119">
        <v>7.9960500000000003</v>
      </c>
      <c r="F231" s="119">
        <v>9.5</v>
      </c>
      <c r="G231" s="119">
        <v>9.7374500000000008</v>
      </c>
      <c r="H231" s="119">
        <v>9.9696099999999994</v>
      </c>
      <c r="I231" s="119">
        <v>10.39</v>
      </c>
      <c r="J231" s="119">
        <v>10.19201</v>
      </c>
      <c r="K231" s="119">
        <v>9.08</v>
      </c>
      <c r="L231" s="119">
        <v>6.7781700000000003</v>
      </c>
      <c r="M231" s="119">
        <v>5.6949100000000001</v>
      </c>
      <c r="N231" s="119">
        <v>6.1</v>
      </c>
      <c r="O231" s="119">
        <v>7.0607800000000003</v>
      </c>
      <c r="P231" s="119">
        <v>8.2253700000000016</v>
      </c>
      <c r="Q231" s="119">
        <v>8.2721599999999995</v>
      </c>
      <c r="R231" s="119">
        <v>8.47316</v>
      </c>
      <c r="S231" s="119">
        <v>8.47316</v>
      </c>
    </row>
    <row r="232" spans="1:19" s="118" customFormat="1" ht="16.149999999999999" customHeight="1">
      <c r="A232" s="120" t="s">
        <v>195</v>
      </c>
      <c r="B232" s="131"/>
      <c r="C232" s="119"/>
      <c r="D232" s="119"/>
      <c r="E232" s="119"/>
      <c r="F232" s="119"/>
      <c r="G232" s="119"/>
      <c r="H232" s="119"/>
      <c r="I232" s="119"/>
      <c r="J232" s="119"/>
      <c r="K232" s="119"/>
      <c r="L232" s="119">
        <v>6.1718299999999999</v>
      </c>
      <c r="M232" s="119">
        <v>6.3327299999999997</v>
      </c>
      <c r="N232" s="119">
        <v>6.45</v>
      </c>
      <c r="O232" s="119">
        <v>6.6737000000000002</v>
      </c>
      <c r="P232" s="119">
        <v>6.9214200000000003</v>
      </c>
      <c r="Q232" s="119">
        <v>6.8141400000000001</v>
      </c>
      <c r="R232" s="119">
        <v>6.5117899999999995</v>
      </c>
      <c r="S232" s="119">
        <v>6.5117899999999995</v>
      </c>
    </row>
    <row r="233" spans="1:19" s="118" customFormat="1" ht="16.149999999999999" customHeight="1" thickBot="1">
      <c r="A233" s="120" t="s">
        <v>194</v>
      </c>
      <c r="B233" s="131"/>
      <c r="C233" s="119"/>
      <c r="D233" s="119"/>
      <c r="E233" s="119"/>
      <c r="F233" s="119"/>
      <c r="G233" s="119"/>
      <c r="H233" s="119"/>
      <c r="I233" s="119"/>
      <c r="J233" s="119"/>
      <c r="K233" s="119"/>
      <c r="L233" s="119"/>
      <c r="M233" s="119">
        <v>100</v>
      </c>
      <c r="N233" s="119">
        <v>135</v>
      </c>
      <c r="O233" s="119">
        <v>140</v>
      </c>
      <c r="P233" s="119">
        <v>147.91</v>
      </c>
      <c r="Q233" s="119">
        <v>137.91</v>
      </c>
      <c r="R233" s="119">
        <v>152.535</v>
      </c>
      <c r="S233" s="119">
        <v>152.535</v>
      </c>
    </row>
    <row r="234" spans="1:19" s="118" customFormat="1" ht="16.149999999999999" customHeight="1" thickBot="1">
      <c r="A234" s="130" t="s">
        <v>193</v>
      </c>
      <c r="B234" s="129">
        <f t="shared" ref="B234:G234" si="25">SUM(B220:B231)</f>
        <v>848.63000000000011</v>
      </c>
      <c r="C234" s="129">
        <f t="shared" si="25"/>
        <v>864.76483000000007</v>
      </c>
      <c r="D234" s="129">
        <f t="shared" si="25"/>
        <v>812.88</v>
      </c>
      <c r="E234" s="129">
        <f t="shared" si="25"/>
        <v>803.78300999999999</v>
      </c>
      <c r="F234" s="129">
        <f t="shared" si="25"/>
        <v>710.42</v>
      </c>
      <c r="G234" s="129">
        <f t="shared" si="25"/>
        <v>643.68493999999998</v>
      </c>
      <c r="H234" s="129">
        <f>SUM(H220:H231)+186.05592</f>
        <v>876.70690999999999</v>
      </c>
      <c r="I234" s="129">
        <f>SUM(I220:I231)+201.03884</f>
        <v>832.41884000000005</v>
      </c>
      <c r="J234" s="129">
        <f>SUM(J220:J231)+157.16</f>
        <v>848.59564</v>
      </c>
      <c r="K234" s="129">
        <f>SUM(K220:K231)+139.91121</f>
        <v>808.32120999999995</v>
      </c>
      <c r="L234" s="137">
        <f>SUM(L220:L232)+L302</f>
        <v>709.77301</v>
      </c>
      <c r="M234" s="129">
        <f t="shared" ref="M234:S234" si="26">SUM(M220:M233)</f>
        <v>901.30457000000001</v>
      </c>
      <c r="N234" s="129">
        <f t="shared" si="26"/>
        <v>1160.0700000000002</v>
      </c>
      <c r="O234" s="129">
        <f t="shared" si="26"/>
        <v>927.48959000000025</v>
      </c>
      <c r="P234" s="129">
        <f t="shared" si="26"/>
        <v>665.35264000000006</v>
      </c>
      <c r="Q234" s="129">
        <f t="shared" si="26"/>
        <v>555.55667000000005</v>
      </c>
      <c r="R234" s="129">
        <f t="shared" si="26"/>
        <v>639.47498999999993</v>
      </c>
      <c r="S234" s="129">
        <f t="shared" si="26"/>
        <v>639.47370000000001</v>
      </c>
    </row>
    <row r="235" spans="1:19" s="118" customFormat="1" ht="16.149999999999999" customHeight="1">
      <c r="A235" s="120" t="s">
        <v>192</v>
      </c>
      <c r="B235" s="131">
        <v>6.98</v>
      </c>
      <c r="C235" s="119">
        <v>7.2243900000000005</v>
      </c>
      <c r="D235" s="119">
        <v>7.51</v>
      </c>
      <c r="E235" s="119">
        <v>7.7763400000000003</v>
      </c>
      <c r="F235" s="119">
        <v>8.0500000000000007</v>
      </c>
      <c r="G235" s="119">
        <v>8.2899700000000003</v>
      </c>
      <c r="H235" s="119">
        <v>8.6630199999999995</v>
      </c>
      <c r="I235" s="119">
        <v>8.9</v>
      </c>
      <c r="J235" s="119">
        <v>8.8969199999999997</v>
      </c>
      <c r="K235" s="119">
        <v>8.43</v>
      </c>
      <c r="L235" s="119">
        <v>8.2642800000000012</v>
      </c>
      <c r="M235" s="119">
        <v>7.9337099999999996</v>
      </c>
      <c r="N235" s="119">
        <v>7.78</v>
      </c>
      <c r="O235" s="119">
        <v>7.7750399999999997</v>
      </c>
      <c r="P235" s="119">
        <v>7.7750399999999997</v>
      </c>
      <c r="Q235" s="119">
        <v>7.8188899999999997</v>
      </c>
      <c r="R235" s="119">
        <v>7.8871499999999992</v>
      </c>
      <c r="S235" s="119">
        <v>7.8871499999999992</v>
      </c>
    </row>
    <row r="236" spans="1:19" s="118" customFormat="1" ht="16.149999999999999" customHeight="1">
      <c r="A236" s="120" t="s">
        <v>191</v>
      </c>
      <c r="B236" s="131">
        <v>142.86000000000001</v>
      </c>
      <c r="C236" s="119">
        <v>148.11553000000001</v>
      </c>
      <c r="D236" s="119">
        <v>153.94</v>
      </c>
      <c r="E236" s="119">
        <v>179.95465999999999</v>
      </c>
      <c r="F236" s="119">
        <v>198.47</v>
      </c>
      <c r="G236" s="119">
        <v>218.29326</v>
      </c>
      <c r="H236" s="119">
        <v>232.51077000000001</v>
      </c>
      <c r="I236" s="119">
        <v>237.09</v>
      </c>
      <c r="J236" s="119">
        <v>231.02322000000001</v>
      </c>
      <c r="K236" s="119">
        <v>216.4</v>
      </c>
      <c r="L236" s="119">
        <v>206.61189000000002</v>
      </c>
      <c r="M236" s="119">
        <v>201.39303000000001</v>
      </c>
      <c r="N236" s="119">
        <v>201.32</v>
      </c>
      <c r="O236" s="119">
        <v>202.12884</v>
      </c>
      <c r="P236" s="119">
        <v>206.27039000000002</v>
      </c>
      <c r="Q236" s="119">
        <v>207.42026000000001</v>
      </c>
      <c r="R236" s="119">
        <v>212.12183999999999</v>
      </c>
      <c r="S236" s="119">
        <v>212.12183999999999</v>
      </c>
    </row>
    <row r="237" spans="1:19" s="118" customFormat="1" ht="16.149999999999999" customHeight="1">
      <c r="A237" s="120" t="s">
        <v>190</v>
      </c>
      <c r="B237" s="131">
        <v>41.05</v>
      </c>
      <c r="C237" s="119">
        <v>42.988010000000003</v>
      </c>
      <c r="D237" s="119">
        <v>46.29</v>
      </c>
      <c r="E237" s="119">
        <v>48.242870000000003</v>
      </c>
      <c r="F237" s="119">
        <v>50.73</v>
      </c>
      <c r="G237" s="119">
        <v>54.426740000000002</v>
      </c>
      <c r="H237" s="119">
        <v>57.162840000000003</v>
      </c>
      <c r="I237" s="119">
        <v>60.14</v>
      </c>
      <c r="J237" s="119">
        <v>61.188809999999997</v>
      </c>
      <c r="K237" s="119">
        <v>62.22</v>
      </c>
      <c r="L237" s="119">
        <v>62.123220000000003</v>
      </c>
      <c r="M237" s="119">
        <v>61.33493</v>
      </c>
      <c r="N237" s="119">
        <v>61.41</v>
      </c>
      <c r="O237" s="119">
        <v>60.989229999999999</v>
      </c>
      <c r="P237" s="119">
        <v>62.897820000000003</v>
      </c>
      <c r="Q237" s="119">
        <v>62.199269999999999</v>
      </c>
      <c r="R237" s="119">
        <v>63.016620000000003</v>
      </c>
      <c r="S237" s="119">
        <v>63.016620000000003</v>
      </c>
    </row>
    <row r="238" spans="1:19" s="118" customFormat="1" ht="16.149999999999999" customHeight="1">
      <c r="A238" s="120" t="s">
        <v>189</v>
      </c>
      <c r="B238" s="131">
        <v>14.38</v>
      </c>
      <c r="C238" s="119">
        <v>14.94131</v>
      </c>
      <c r="D238" s="119">
        <v>16.649999999999999</v>
      </c>
      <c r="E238" s="119">
        <v>19.118779999999997</v>
      </c>
      <c r="F238" s="119">
        <v>20.399999999999999</v>
      </c>
      <c r="G238" s="119">
        <v>25.33014</v>
      </c>
      <c r="H238" s="119">
        <v>26.270669999999999</v>
      </c>
      <c r="I238" s="119">
        <v>27.57</v>
      </c>
      <c r="J238" s="119">
        <v>27.686970000000002</v>
      </c>
      <c r="K238" s="119">
        <v>26.44</v>
      </c>
      <c r="L238" s="119">
        <v>25.531830000000003</v>
      </c>
      <c r="M238" s="119">
        <v>24.284220000000001</v>
      </c>
      <c r="N238" s="119">
        <v>23.62</v>
      </c>
      <c r="O238" s="119">
        <v>23.084440000000001</v>
      </c>
      <c r="P238" s="119">
        <v>23.001799999999999</v>
      </c>
      <c r="Q238" s="119">
        <v>23.590920000000001</v>
      </c>
      <c r="R238" s="119">
        <v>23.866869999999999</v>
      </c>
      <c r="S238" s="119">
        <v>23.866869999999999</v>
      </c>
    </row>
    <row r="239" spans="1:19" s="118" customFormat="1" ht="16.149999999999999" customHeight="1">
      <c r="A239" s="120" t="s">
        <v>188</v>
      </c>
      <c r="B239" s="131">
        <v>4.12</v>
      </c>
      <c r="C239" s="119">
        <v>4.2021499999999996</v>
      </c>
      <c r="D239" s="119">
        <v>4.88</v>
      </c>
      <c r="E239" s="119">
        <v>5.2821300000000004</v>
      </c>
      <c r="F239" s="119">
        <v>5.44</v>
      </c>
      <c r="G239" s="119">
        <v>5.8231900000000003</v>
      </c>
      <c r="H239" s="119">
        <v>5.98705</v>
      </c>
      <c r="I239" s="119">
        <v>6.54</v>
      </c>
      <c r="J239" s="119">
        <v>6.5307700000000004</v>
      </c>
      <c r="K239" s="119">
        <v>6.2</v>
      </c>
      <c r="L239" s="119">
        <v>6.1585600000000005</v>
      </c>
      <c r="M239" s="119">
        <v>6.1486700000000001</v>
      </c>
      <c r="N239" s="119">
        <v>6.03</v>
      </c>
      <c r="O239" s="119">
        <v>6.0286299999999997</v>
      </c>
      <c r="P239" s="119">
        <v>6.0286299999999997</v>
      </c>
      <c r="Q239" s="119">
        <v>6.0166700000000004</v>
      </c>
      <c r="R239" s="119">
        <v>6.1829000000000001</v>
      </c>
      <c r="S239" s="119">
        <v>6.1829000000000001</v>
      </c>
    </row>
    <row r="240" spans="1:19" s="118" customFormat="1" ht="16.149999999999999" customHeight="1">
      <c r="A240" s="120" t="s">
        <v>187</v>
      </c>
      <c r="B240" s="131">
        <v>68.91</v>
      </c>
      <c r="C240" s="119">
        <v>27.78115</v>
      </c>
      <c r="D240" s="119">
        <v>27.78</v>
      </c>
      <c r="E240" s="119">
        <v>29.926680000000001</v>
      </c>
      <c r="F240" s="119">
        <v>41.66</v>
      </c>
      <c r="G240" s="119">
        <v>47.011690000000002</v>
      </c>
      <c r="H240" s="119">
        <v>47.666789999999999</v>
      </c>
      <c r="I240" s="119">
        <v>49.31</v>
      </c>
      <c r="J240" s="119">
        <v>99.987690000000001</v>
      </c>
      <c r="K240" s="119">
        <v>43.41</v>
      </c>
      <c r="L240" s="119">
        <v>41.472619999999999</v>
      </c>
      <c r="M240" s="119">
        <v>38.919640000000001</v>
      </c>
      <c r="N240" s="119">
        <v>37.799999999999997</v>
      </c>
      <c r="O240" s="119">
        <v>37.323839999999997</v>
      </c>
      <c r="P240" s="119">
        <v>36.053519999999999</v>
      </c>
      <c r="Q240" s="119">
        <v>35.209699999999998</v>
      </c>
      <c r="R240" s="119">
        <v>35.941949999999999</v>
      </c>
      <c r="S240" s="119">
        <v>35.941949999999999</v>
      </c>
    </row>
    <row r="241" spans="1:19" s="118" customFormat="1" ht="17.25" customHeight="1">
      <c r="A241" s="120" t="s">
        <v>186</v>
      </c>
      <c r="B241" s="131">
        <v>8.5</v>
      </c>
      <c r="C241" s="119">
        <v>9.0076000000000001</v>
      </c>
      <c r="D241" s="119">
        <v>9.5</v>
      </c>
      <c r="E241" s="119">
        <v>10.13923</v>
      </c>
      <c r="F241" s="119">
        <v>11.04</v>
      </c>
      <c r="G241" s="119">
        <v>11.42455</v>
      </c>
      <c r="H241" s="119">
        <v>11.74681</v>
      </c>
      <c r="I241" s="119">
        <v>12.16</v>
      </c>
      <c r="J241" s="119">
        <v>11.546629999999999</v>
      </c>
      <c r="K241" s="119">
        <v>10.48</v>
      </c>
      <c r="L241" s="119">
        <v>10.087219999999999</v>
      </c>
      <c r="M241" s="119">
        <v>9.8881599999999992</v>
      </c>
      <c r="N241" s="119">
        <v>9.86</v>
      </c>
      <c r="O241" s="119">
        <v>9.9416899999999995</v>
      </c>
      <c r="P241" s="119">
        <v>10.64629</v>
      </c>
      <c r="Q241" s="119">
        <v>10.85735</v>
      </c>
      <c r="R241" s="119">
        <v>11.38865</v>
      </c>
      <c r="S241" s="119">
        <v>11.38865</v>
      </c>
    </row>
    <row r="242" spans="1:19" s="118" customFormat="1" ht="16.149999999999999" customHeight="1">
      <c r="A242" s="120" t="s">
        <v>185</v>
      </c>
      <c r="B242" s="131">
        <v>71.239999999999995</v>
      </c>
      <c r="C242" s="119">
        <v>73.950530000000001</v>
      </c>
      <c r="D242" s="119">
        <v>77.38</v>
      </c>
      <c r="E242" s="119">
        <v>85.061070000000001</v>
      </c>
      <c r="F242" s="119">
        <v>88.67</v>
      </c>
      <c r="G242" s="119">
        <v>93.816969999999998</v>
      </c>
      <c r="H242" s="119">
        <v>104.32359</v>
      </c>
      <c r="I242" s="119">
        <v>96.6</v>
      </c>
      <c r="J242" s="119">
        <v>119.53460000000001</v>
      </c>
      <c r="K242" s="119">
        <v>43.253999999999998</v>
      </c>
      <c r="L242" s="119">
        <v>43.056940000000004</v>
      </c>
      <c r="M242" s="119">
        <v>33.654389999999999</v>
      </c>
      <c r="N242" s="119">
        <v>34.42</v>
      </c>
      <c r="O242" s="119">
        <v>33.998620000000003</v>
      </c>
      <c r="P242" s="119">
        <v>32.054229999999997</v>
      </c>
      <c r="Q242" s="119">
        <v>30.77571</v>
      </c>
      <c r="R242" s="119">
        <v>31.067509999999999</v>
      </c>
      <c r="S242" s="119">
        <v>30.638240000000003</v>
      </c>
    </row>
    <row r="243" spans="1:19" s="118" customFormat="1" ht="16.149999999999999" customHeight="1">
      <c r="A243" s="120" t="s">
        <v>184</v>
      </c>
      <c r="B243" s="131">
        <v>7.3</v>
      </c>
      <c r="C243" s="119">
        <v>7.1242399999999995</v>
      </c>
      <c r="D243" s="119">
        <v>8.2799999999999994</v>
      </c>
      <c r="E243" s="119">
        <v>8.8927399999999999</v>
      </c>
      <c r="F243" s="119">
        <v>9.51</v>
      </c>
      <c r="G243" s="119">
        <v>9.31236</v>
      </c>
      <c r="H243" s="119">
        <v>10.15691</v>
      </c>
      <c r="I243" s="119">
        <v>10.49</v>
      </c>
      <c r="J243" s="119">
        <v>10.422129999999999</v>
      </c>
      <c r="K243" s="119">
        <v>9.35</v>
      </c>
      <c r="L243" s="119">
        <v>8.8432300000000001</v>
      </c>
      <c r="M243" s="119">
        <v>8.3925599999999996</v>
      </c>
      <c r="N243" s="119">
        <v>7.87</v>
      </c>
      <c r="O243" s="119">
        <v>7.8659999999999997</v>
      </c>
      <c r="P243" s="119">
        <v>7.8659999999999997</v>
      </c>
      <c r="Q243" s="119">
        <v>7.5659999999999998</v>
      </c>
      <c r="R243" s="119">
        <v>8.0404099999999996</v>
      </c>
      <c r="S243" s="119">
        <v>8.0404099999999996</v>
      </c>
    </row>
    <row r="244" spans="1:19" s="118" customFormat="1" ht="16.149999999999999" customHeight="1" thickBot="1">
      <c r="A244" s="120" t="s">
        <v>183</v>
      </c>
      <c r="B244" s="131"/>
      <c r="C244" s="119">
        <v>137.99611999999999</v>
      </c>
      <c r="D244" s="119">
        <v>161.94999999999999</v>
      </c>
      <c r="E244" s="119">
        <v>189.74429000000001</v>
      </c>
      <c r="F244" s="119">
        <v>208.57</v>
      </c>
      <c r="G244" s="119">
        <v>241.57069000000001</v>
      </c>
      <c r="H244" s="119">
        <v>264.71140000000003</v>
      </c>
      <c r="I244" s="119">
        <v>255.07</v>
      </c>
      <c r="J244" s="119">
        <v>241.37258</v>
      </c>
      <c r="K244" s="119">
        <v>228.2</v>
      </c>
      <c r="L244" s="119">
        <v>221.2003</v>
      </c>
      <c r="M244" s="119">
        <v>203.68717999999998</v>
      </c>
      <c r="N244" s="119">
        <v>203.69</v>
      </c>
      <c r="O244" s="119">
        <v>223.68718000000001</v>
      </c>
      <c r="P244" s="119">
        <v>240.97717</v>
      </c>
      <c r="Q244" s="119">
        <v>260.96015</v>
      </c>
      <c r="R244" s="119">
        <v>281.94870000000003</v>
      </c>
      <c r="S244" s="119">
        <v>281.94870000000003</v>
      </c>
    </row>
    <row r="245" spans="1:19" s="118" customFormat="1" ht="16.149999999999999" hidden="1" customHeight="1" thickBot="1">
      <c r="A245" s="120" t="s">
        <v>182</v>
      </c>
      <c r="B245" s="131">
        <v>4.2</v>
      </c>
      <c r="C245" s="119">
        <v>4.5938699999999999</v>
      </c>
      <c r="D245" s="119">
        <v>4.2300000000000004</v>
      </c>
      <c r="E245" s="119">
        <v>4.3233699999999997</v>
      </c>
      <c r="F245" s="119"/>
      <c r="G245" s="119"/>
      <c r="H245" s="119"/>
      <c r="I245" s="119"/>
      <c r="J245" s="119"/>
      <c r="K245" s="119"/>
      <c r="L245" s="119"/>
      <c r="M245" s="119"/>
      <c r="N245" s="119"/>
      <c r="O245" s="119"/>
      <c r="P245" s="119"/>
      <c r="Q245" s="119"/>
      <c r="R245" s="119"/>
      <c r="S245" s="119"/>
    </row>
    <row r="246" spans="1:19" s="118" customFormat="1" ht="16.149999999999999" customHeight="1" thickBot="1">
      <c r="A246" s="130" t="s">
        <v>181</v>
      </c>
      <c r="B246" s="129">
        <f t="shared" ref="B246:S246" si="27">SUM(B235:B245)</f>
        <v>369.53999999999996</v>
      </c>
      <c r="C246" s="129">
        <f t="shared" si="27"/>
        <v>477.92489999999992</v>
      </c>
      <c r="D246" s="129">
        <f t="shared" si="27"/>
        <v>518.38999999999987</v>
      </c>
      <c r="E246" s="129">
        <f t="shared" si="27"/>
        <v>588.46215999999993</v>
      </c>
      <c r="F246" s="129">
        <f t="shared" si="27"/>
        <v>642.54</v>
      </c>
      <c r="G246" s="129">
        <f t="shared" si="27"/>
        <v>715.29956000000004</v>
      </c>
      <c r="H246" s="129">
        <f t="shared" si="27"/>
        <v>769.19984999999997</v>
      </c>
      <c r="I246" s="129">
        <f t="shared" si="27"/>
        <v>763.87000000000012</v>
      </c>
      <c r="J246" s="129">
        <f t="shared" si="27"/>
        <v>818.19032000000004</v>
      </c>
      <c r="K246" s="135">
        <f t="shared" si="27"/>
        <v>654.38400000000001</v>
      </c>
      <c r="L246" s="129">
        <f t="shared" si="27"/>
        <v>633.35009000000014</v>
      </c>
      <c r="M246" s="129">
        <f t="shared" si="27"/>
        <v>595.63648999999998</v>
      </c>
      <c r="N246" s="129">
        <f t="shared" si="27"/>
        <v>593.79999999999995</v>
      </c>
      <c r="O246" s="129">
        <f t="shared" si="27"/>
        <v>612.82350999999994</v>
      </c>
      <c r="P246" s="129">
        <f t="shared" si="27"/>
        <v>633.57089000000008</v>
      </c>
      <c r="Q246" s="129">
        <f t="shared" si="27"/>
        <v>652.41491999999994</v>
      </c>
      <c r="R246" s="129">
        <f t="shared" si="27"/>
        <v>681.46260000000007</v>
      </c>
      <c r="S246" s="129">
        <f t="shared" si="27"/>
        <v>681.03332999999998</v>
      </c>
    </row>
    <row r="247" spans="1:19" s="118" customFormat="1" ht="16.149999999999999" customHeight="1">
      <c r="A247" s="136" t="s">
        <v>180</v>
      </c>
      <c r="B247" s="119"/>
      <c r="C247" s="119"/>
      <c r="D247" s="119"/>
      <c r="E247" s="119"/>
      <c r="F247" s="119"/>
      <c r="G247" s="119"/>
      <c r="H247" s="119"/>
      <c r="I247" s="119"/>
      <c r="J247" s="119"/>
      <c r="K247" s="131"/>
      <c r="L247" s="119"/>
      <c r="M247" s="119"/>
      <c r="N247" s="119"/>
      <c r="O247" s="119"/>
      <c r="P247" s="119"/>
      <c r="Q247" s="119"/>
      <c r="R247" s="119"/>
      <c r="S247" s="131">
        <v>9.2591599999999996</v>
      </c>
    </row>
    <row r="248" spans="1:19" s="118" customFormat="1" ht="16.149999999999999" customHeight="1">
      <c r="A248" s="120" t="s">
        <v>179</v>
      </c>
      <c r="B248" s="131">
        <v>29.19</v>
      </c>
      <c r="C248" s="119">
        <v>27.27394</v>
      </c>
      <c r="D248" s="119">
        <v>27.82</v>
      </c>
      <c r="E248" s="119">
        <v>28.902660000000001</v>
      </c>
      <c r="F248" s="119">
        <v>21.7</v>
      </c>
      <c r="G248" s="119">
        <v>22.5259</v>
      </c>
      <c r="H248" s="119">
        <v>22.643139999999999</v>
      </c>
      <c r="I248" s="119">
        <v>24.08</v>
      </c>
      <c r="J248" s="119">
        <v>24.66855</v>
      </c>
      <c r="K248" s="119">
        <v>24.297999999999998</v>
      </c>
      <c r="L248" s="119">
        <v>48.598059999999997</v>
      </c>
      <c r="M248" s="119">
        <v>47.170879999999997</v>
      </c>
      <c r="N248" s="119">
        <v>45.97</v>
      </c>
      <c r="O248" s="119">
        <v>49.704920000000001</v>
      </c>
      <c r="P248" s="119">
        <v>44.745550000000001</v>
      </c>
      <c r="Q248" s="119">
        <v>42.916589999999999</v>
      </c>
      <c r="R248" s="119">
        <v>24.988970000000002</v>
      </c>
      <c r="S248" s="119">
        <v>24.74579</v>
      </c>
    </row>
    <row r="249" spans="1:19" s="118" customFormat="1" ht="16.149999999999999" customHeight="1">
      <c r="A249" s="120" t="s">
        <v>178</v>
      </c>
      <c r="B249" s="131">
        <v>80.239999999999995</v>
      </c>
      <c r="C249" s="119">
        <v>81.921179999999993</v>
      </c>
      <c r="D249" s="119">
        <v>90.59</v>
      </c>
      <c r="E249" s="119">
        <v>114.69667999999999</v>
      </c>
      <c r="F249" s="119">
        <v>129.43</v>
      </c>
      <c r="G249" s="119">
        <v>137.11061000000001</v>
      </c>
      <c r="H249" s="119">
        <v>150.15260000000001</v>
      </c>
      <c r="I249" s="119">
        <v>162.32</v>
      </c>
      <c r="J249" s="119">
        <v>159.77414000000002</v>
      </c>
      <c r="K249" s="119">
        <v>146.0711</v>
      </c>
      <c r="L249" s="119">
        <v>76.181839999999994</v>
      </c>
      <c r="M249" s="119">
        <v>67.941869999999994</v>
      </c>
      <c r="N249" s="119">
        <v>66.150000000000006</v>
      </c>
      <c r="O249" s="119">
        <v>69.139759999999995</v>
      </c>
      <c r="P249" s="119">
        <v>74.319460000000007</v>
      </c>
      <c r="Q249" s="119">
        <v>79.415760000000006</v>
      </c>
      <c r="R249" s="119">
        <v>85.728920000000002</v>
      </c>
      <c r="S249" s="119">
        <v>84.840720000000005</v>
      </c>
    </row>
    <row r="250" spans="1:19" s="118" customFormat="1" ht="16.149999999999999" customHeight="1">
      <c r="A250" s="120" t="s">
        <v>177</v>
      </c>
      <c r="B250" s="131">
        <v>203.37</v>
      </c>
      <c r="C250" s="119">
        <v>214.29673</v>
      </c>
      <c r="D250" s="119">
        <v>236.78</v>
      </c>
      <c r="E250" s="119">
        <v>248.45248999999998</v>
      </c>
      <c r="F250" s="119">
        <v>275.70999999999998</v>
      </c>
      <c r="G250" s="119">
        <v>286.46481</v>
      </c>
      <c r="H250" s="119">
        <v>309.59624000000002</v>
      </c>
      <c r="I250" s="119">
        <v>334.6</v>
      </c>
      <c r="J250" s="119">
        <v>336.86147</v>
      </c>
      <c r="K250" s="119">
        <v>317.08600000000001</v>
      </c>
      <c r="L250" s="119">
        <v>301.57979999999998</v>
      </c>
      <c r="M250" s="119">
        <v>280.37743999999998</v>
      </c>
      <c r="N250" s="119">
        <v>275.02999999999997</v>
      </c>
      <c r="O250" s="119">
        <v>266.98651999999998</v>
      </c>
      <c r="P250" s="119">
        <v>267.85136</v>
      </c>
      <c r="Q250" s="119">
        <v>260.43842999999998</v>
      </c>
      <c r="R250" s="119">
        <v>248.70735999999999</v>
      </c>
      <c r="S250" s="119">
        <v>248.70735999999999</v>
      </c>
    </row>
    <row r="251" spans="1:19" s="118" customFormat="1" ht="16.149999999999999" customHeight="1">
      <c r="A251" s="120" t="s">
        <v>176</v>
      </c>
      <c r="B251" s="131">
        <v>14.53</v>
      </c>
      <c r="C251" s="119">
        <v>14.769870000000001</v>
      </c>
      <c r="D251" s="119">
        <v>15.73</v>
      </c>
      <c r="E251" s="119">
        <v>16.33437</v>
      </c>
      <c r="F251" s="119">
        <v>16.77</v>
      </c>
      <c r="G251" s="119">
        <v>18.32976</v>
      </c>
      <c r="H251" s="119">
        <v>20.064170000000001</v>
      </c>
      <c r="I251" s="119">
        <v>20.23</v>
      </c>
      <c r="J251" s="119">
        <v>19.0168</v>
      </c>
      <c r="K251" s="119">
        <v>18.404019999999999</v>
      </c>
      <c r="L251" s="119">
        <v>17.751240000000003</v>
      </c>
      <c r="M251" s="119">
        <v>60.265830000000001</v>
      </c>
      <c r="N251" s="119">
        <v>54.82</v>
      </c>
      <c r="O251" s="119">
        <v>54.52854</v>
      </c>
      <c r="P251" s="119">
        <v>55.096849999999996</v>
      </c>
      <c r="Q251" s="119">
        <v>55.159419999999997</v>
      </c>
      <c r="R251" s="119">
        <v>68.451490000000007</v>
      </c>
      <c r="S251" s="119">
        <v>68.451490000000007</v>
      </c>
    </row>
    <row r="252" spans="1:19" s="118" customFormat="1" ht="16.149999999999999" customHeight="1">
      <c r="A252" s="120" t="s">
        <v>175</v>
      </c>
      <c r="B252" s="131">
        <v>27.78</v>
      </c>
      <c r="C252" s="119">
        <v>28.169409999999999</v>
      </c>
      <c r="D252" s="119">
        <v>28.53</v>
      </c>
      <c r="E252" s="119">
        <v>29.175450000000001</v>
      </c>
      <c r="F252" s="119">
        <v>29.78</v>
      </c>
      <c r="G252" s="119">
        <v>31.29354</v>
      </c>
      <c r="H252" s="119">
        <v>32.582129999999999</v>
      </c>
      <c r="I252" s="119">
        <v>40.21</v>
      </c>
      <c r="J252" s="119">
        <v>39.112919999999995</v>
      </c>
      <c r="K252" s="119">
        <v>36.11083</v>
      </c>
      <c r="L252" s="119">
        <v>33.808889999999998</v>
      </c>
      <c r="M252" s="119">
        <v>33.764040000000001</v>
      </c>
      <c r="N252" s="119">
        <v>31.66</v>
      </c>
      <c r="O252" s="119">
        <v>31.619060000000001</v>
      </c>
      <c r="P252" s="119">
        <v>30.8856</v>
      </c>
      <c r="Q252" s="119">
        <v>30.725840000000002</v>
      </c>
      <c r="R252" s="119">
        <v>31.062639999999998</v>
      </c>
      <c r="S252" s="119">
        <v>31.062639999999998</v>
      </c>
    </row>
    <row r="253" spans="1:19" s="118" customFormat="1" ht="16.149999999999999" customHeight="1">
      <c r="A253" s="120" t="s">
        <v>174</v>
      </c>
      <c r="B253" s="131">
        <v>23.6</v>
      </c>
      <c r="C253" s="119">
        <v>24.4177</v>
      </c>
      <c r="D253" s="119">
        <v>27.1</v>
      </c>
      <c r="E253" s="119">
        <v>26.962709999999998</v>
      </c>
      <c r="F253" s="119">
        <v>27.93</v>
      </c>
      <c r="G253" s="119">
        <v>31.065940000000001</v>
      </c>
      <c r="H253" s="119">
        <v>32.30697</v>
      </c>
      <c r="I253" s="119">
        <v>34.35</v>
      </c>
      <c r="J253" s="119">
        <v>35.112290000000002</v>
      </c>
      <c r="K253" s="119">
        <v>33.319749999999999</v>
      </c>
      <c r="L253" s="119">
        <v>32.333490000000005</v>
      </c>
      <c r="M253" s="119">
        <v>31.697990000000001</v>
      </c>
      <c r="N253" s="119">
        <v>31.88</v>
      </c>
      <c r="O253" s="119">
        <v>31.49334</v>
      </c>
      <c r="P253" s="119">
        <v>32.508980000000001</v>
      </c>
      <c r="Q253" s="119">
        <v>33.764229999999998</v>
      </c>
      <c r="R253" s="119">
        <v>34.247819999999997</v>
      </c>
      <c r="S253" s="119">
        <v>34.247819999999997</v>
      </c>
    </row>
    <row r="254" spans="1:19" s="118" customFormat="1" ht="16.149999999999999" customHeight="1">
      <c r="A254" s="120" t="s">
        <v>173</v>
      </c>
      <c r="B254" s="131">
        <v>48.92</v>
      </c>
      <c r="C254" s="119">
        <v>46.825969999999998</v>
      </c>
      <c r="D254" s="119">
        <v>50.93</v>
      </c>
      <c r="E254" s="119">
        <v>52.217469999999999</v>
      </c>
      <c r="F254" s="119">
        <v>53.3</v>
      </c>
      <c r="G254" s="119">
        <v>54.341929999999998</v>
      </c>
      <c r="H254" s="119">
        <v>52.115110000000001</v>
      </c>
      <c r="I254" s="119">
        <v>53.32</v>
      </c>
      <c r="J254" s="119">
        <v>53.65202</v>
      </c>
      <c r="K254" s="119">
        <v>47.434730000000002</v>
      </c>
      <c r="L254" s="119">
        <v>42.885239999999996</v>
      </c>
      <c r="M254" s="119">
        <v>41.369570000000003</v>
      </c>
      <c r="N254" s="119">
        <v>42.02</v>
      </c>
      <c r="O254" s="119">
        <v>38.943669999999997</v>
      </c>
      <c r="P254" s="119">
        <v>37.798209999999997</v>
      </c>
      <c r="Q254" s="119">
        <v>37.309069999999998</v>
      </c>
      <c r="R254" s="119">
        <v>45.286720000000003</v>
      </c>
      <c r="S254" s="119">
        <v>45.286720000000003</v>
      </c>
    </row>
    <row r="255" spans="1:19" s="118" customFormat="1" ht="16.5" customHeight="1">
      <c r="A255" s="120" t="s">
        <v>172</v>
      </c>
      <c r="B255" s="131">
        <v>0.92</v>
      </c>
      <c r="C255" s="119">
        <v>1.0007200000000001</v>
      </c>
      <c r="D255" s="119">
        <v>1.01</v>
      </c>
      <c r="E255" s="119">
        <v>1.05891</v>
      </c>
      <c r="F255" s="119">
        <v>1.1399999999999999</v>
      </c>
      <c r="G255" s="119">
        <v>1.3346199999999999</v>
      </c>
      <c r="H255" s="119">
        <v>2.8345799999999999</v>
      </c>
      <c r="I255" s="119">
        <v>2.93</v>
      </c>
      <c r="J255" s="119">
        <v>3.1133000000000002</v>
      </c>
      <c r="K255" s="119">
        <v>2.5350100000000002</v>
      </c>
      <c r="L255" s="119">
        <v>0.19356999999999999</v>
      </c>
      <c r="M255" s="119">
        <v>0.16263999999999998</v>
      </c>
      <c r="N255" s="119">
        <v>0.16264000000000001</v>
      </c>
      <c r="O255" s="119">
        <v>0.16264000000000001</v>
      </c>
      <c r="P255" s="119">
        <v>0.16263999999999998</v>
      </c>
      <c r="Q255" s="119">
        <v>9.8339999999999997E-2</v>
      </c>
      <c r="R255" s="119">
        <v>9.8339999999999997E-2</v>
      </c>
      <c r="S255" s="119">
        <v>9.1939999999999994E-2</v>
      </c>
    </row>
    <row r="256" spans="1:19" s="118" customFormat="1" ht="15.75" hidden="1" customHeight="1">
      <c r="A256" s="120" t="s">
        <v>171</v>
      </c>
      <c r="B256" s="131"/>
      <c r="C256" s="119"/>
      <c r="D256" s="119"/>
      <c r="E256" s="119"/>
      <c r="F256" s="119"/>
      <c r="G256" s="119">
        <v>4.9013499999999999</v>
      </c>
      <c r="H256" s="119">
        <v>5.1518699999999997</v>
      </c>
      <c r="I256" s="119">
        <v>5.47</v>
      </c>
      <c r="J256" s="119">
        <v>4.9277499999999996</v>
      </c>
      <c r="K256" s="119">
        <v>4.6215999999999999</v>
      </c>
      <c r="L256" s="119">
        <v>4.4463599999999994</v>
      </c>
      <c r="M256" s="119">
        <v>4.1633800000000001</v>
      </c>
      <c r="N256" s="119">
        <v>3.86</v>
      </c>
      <c r="O256" s="119">
        <v>3.8023500000000001</v>
      </c>
      <c r="P256" s="119">
        <v>3.7053499999999997</v>
      </c>
      <c r="Q256" s="119">
        <v>3.6178400000000002</v>
      </c>
      <c r="R256" s="119">
        <v>0</v>
      </c>
      <c r="S256" s="119"/>
    </row>
    <row r="257" spans="1:19" s="118" customFormat="1" ht="16.149999999999999" customHeight="1">
      <c r="A257" s="120" t="s">
        <v>170</v>
      </c>
      <c r="B257" s="131"/>
      <c r="C257" s="119"/>
      <c r="D257" s="119"/>
      <c r="E257" s="119"/>
      <c r="F257" s="119"/>
      <c r="G257" s="119"/>
      <c r="H257" s="119"/>
      <c r="I257" s="119"/>
      <c r="J257" s="119"/>
      <c r="K257" s="119"/>
      <c r="L257" s="119"/>
      <c r="M257" s="119"/>
      <c r="N257" s="119"/>
      <c r="O257" s="119">
        <v>2.5802</v>
      </c>
      <c r="P257" s="119">
        <v>2.9745400000000002</v>
      </c>
      <c r="Q257" s="119">
        <v>2.9190200000000002</v>
      </c>
      <c r="R257" s="119">
        <v>2.2768600000000001</v>
      </c>
      <c r="S257" s="119">
        <v>2.2768600000000001</v>
      </c>
    </row>
    <row r="258" spans="1:19" s="118" customFormat="1" ht="16.149999999999999" customHeight="1">
      <c r="A258" s="120" t="s">
        <v>169</v>
      </c>
      <c r="B258" s="131">
        <v>3.53</v>
      </c>
      <c r="C258" s="119">
        <v>3.4736199999999999</v>
      </c>
      <c r="D258" s="119">
        <v>3.77</v>
      </c>
      <c r="E258" s="119">
        <v>2.6312600000000002</v>
      </c>
      <c r="F258" s="119">
        <v>2.92</v>
      </c>
      <c r="G258" s="119">
        <v>3.5078800000000001</v>
      </c>
      <c r="H258" s="119">
        <v>3.4686900000000001</v>
      </c>
      <c r="I258" s="119">
        <v>4.16</v>
      </c>
      <c r="J258" s="119">
        <v>4.0909699999999996</v>
      </c>
      <c r="K258" s="119">
        <v>3.8662899999999998</v>
      </c>
      <c r="L258" s="119">
        <v>3.7557100000000001</v>
      </c>
      <c r="M258" s="119">
        <v>3.3055599999999998</v>
      </c>
      <c r="N258" s="119">
        <v>2.5</v>
      </c>
      <c r="O258" s="119">
        <v>2.6221100000000002</v>
      </c>
      <c r="P258" s="119">
        <v>2.6865600000000001</v>
      </c>
      <c r="Q258" s="119">
        <v>4.0472799999999998</v>
      </c>
      <c r="R258" s="119">
        <v>13.1227</v>
      </c>
      <c r="S258" s="119">
        <v>13.1227</v>
      </c>
    </row>
    <row r="259" spans="1:19" s="118" customFormat="1" ht="15.75" customHeight="1">
      <c r="A259" s="120" t="s">
        <v>168</v>
      </c>
      <c r="B259" s="131">
        <v>2.4500000000000002</v>
      </c>
      <c r="C259" s="119">
        <v>2.8144699999999996</v>
      </c>
      <c r="D259" s="119">
        <v>3.82</v>
      </c>
      <c r="E259" s="119">
        <v>4.0117099999999999</v>
      </c>
      <c r="F259" s="119"/>
      <c r="G259" s="119"/>
      <c r="H259" s="119"/>
      <c r="I259" s="119">
        <v>6.79</v>
      </c>
      <c r="J259" s="119">
        <v>6.7466499999999998</v>
      </c>
      <c r="K259" s="119">
        <v>6.0616099999999999</v>
      </c>
      <c r="L259" s="119">
        <v>5.7748999999999997</v>
      </c>
      <c r="M259" s="119">
        <v>23005.996600000002</v>
      </c>
      <c r="N259" s="119">
        <v>23006.93</v>
      </c>
      <c r="O259" s="119">
        <v>21007.490409999999</v>
      </c>
      <c r="P259" s="119">
        <v>26008.43245</v>
      </c>
      <c r="Q259" s="119">
        <v>17508.445009999999</v>
      </c>
      <c r="R259" s="119">
        <v>17508.285550000001</v>
      </c>
      <c r="S259" s="119">
        <v>17508.285550000001</v>
      </c>
    </row>
    <row r="260" spans="1:19" s="118" customFormat="1" ht="16.149999999999999" hidden="1" customHeight="1">
      <c r="A260" s="120" t="s">
        <v>167</v>
      </c>
      <c r="B260" s="131"/>
      <c r="C260" s="119"/>
      <c r="D260" s="119"/>
      <c r="E260" s="119"/>
      <c r="F260" s="119">
        <v>2.78</v>
      </c>
      <c r="G260" s="119">
        <v>3.2612000000000001</v>
      </c>
      <c r="H260" s="119">
        <v>3.5380199999999999</v>
      </c>
      <c r="I260" s="119"/>
      <c r="J260" s="119"/>
      <c r="K260" s="119"/>
      <c r="L260" s="119"/>
      <c r="S260" s="119"/>
    </row>
    <row r="261" spans="1:19" s="118" customFormat="1" ht="16.149999999999999" hidden="1" customHeight="1">
      <c r="A261" s="120" t="s">
        <v>166</v>
      </c>
      <c r="B261" s="131"/>
      <c r="C261" s="119"/>
      <c r="D261" s="119"/>
      <c r="E261" s="119"/>
      <c r="F261" s="119">
        <v>2.39</v>
      </c>
      <c r="G261" s="119">
        <v>2.3364600000000002</v>
      </c>
      <c r="H261" s="119">
        <v>2.86469</v>
      </c>
      <c r="I261" s="119"/>
      <c r="J261" s="119"/>
      <c r="K261" s="119"/>
      <c r="L261" s="119"/>
      <c r="S261" s="119"/>
    </row>
    <row r="262" spans="1:19" s="118" customFormat="1" ht="16.149999999999999" customHeight="1">
      <c r="A262" s="120" t="s">
        <v>165</v>
      </c>
      <c r="B262" s="131">
        <v>35.4</v>
      </c>
      <c r="C262" s="119">
        <v>41.445309999999999</v>
      </c>
      <c r="D262" s="119">
        <v>47.12</v>
      </c>
      <c r="E262" s="119">
        <v>49.988320000000002</v>
      </c>
      <c r="F262" s="119">
        <v>53.45</v>
      </c>
      <c r="G262" s="119">
        <v>55.572220000000002</v>
      </c>
      <c r="H262" s="119">
        <v>58.605069999999998</v>
      </c>
      <c r="I262" s="119">
        <v>65.58</v>
      </c>
      <c r="J262" s="119">
        <v>22.34104</v>
      </c>
      <c r="K262" s="119"/>
      <c r="L262" s="119"/>
      <c r="S262" s="119"/>
    </row>
    <row r="263" spans="1:19" s="118" customFormat="1" ht="16.149999999999999" customHeight="1">
      <c r="A263" s="120" t="s">
        <v>164</v>
      </c>
      <c r="B263" s="131">
        <v>427.2</v>
      </c>
      <c r="C263" s="119">
        <v>396.03010999999998</v>
      </c>
      <c r="D263" s="119">
        <v>423.29</v>
      </c>
      <c r="E263" s="119">
        <v>415.70826</v>
      </c>
      <c r="F263" s="119">
        <v>465.1</v>
      </c>
      <c r="G263" s="119">
        <v>470.95013</v>
      </c>
      <c r="H263" s="119">
        <v>502.875</v>
      </c>
      <c r="I263" s="119">
        <v>637.6</v>
      </c>
      <c r="J263" s="119">
        <v>585.05444999999997</v>
      </c>
      <c r="K263" s="119">
        <v>479.47</v>
      </c>
      <c r="L263" s="119">
        <v>207.76948999999999</v>
      </c>
      <c r="M263" s="119">
        <v>211.04689999999999</v>
      </c>
      <c r="N263" s="119">
        <v>201.79</v>
      </c>
      <c r="O263" s="119">
        <v>185.57588000000001</v>
      </c>
      <c r="P263" s="119">
        <v>175.64684</v>
      </c>
      <c r="Q263" s="119">
        <v>178.59559999999999</v>
      </c>
      <c r="R263" s="119">
        <v>184.15548999999999</v>
      </c>
      <c r="S263" s="119">
        <v>184.15548999999999</v>
      </c>
    </row>
    <row r="264" spans="1:19" s="118" customFormat="1" ht="16.149999999999999" hidden="1" customHeight="1">
      <c r="A264" s="120" t="s">
        <v>163</v>
      </c>
      <c r="B264" s="131">
        <v>147.69</v>
      </c>
      <c r="C264" s="119">
        <v>136.10935000000001</v>
      </c>
      <c r="D264" s="119">
        <v>139.33000000000001</v>
      </c>
      <c r="E264" s="119"/>
      <c r="S264" s="119"/>
    </row>
    <row r="265" spans="1:19" s="118" customFormat="1" ht="16.149999999999999" customHeight="1">
      <c r="A265" s="120" t="s">
        <v>162</v>
      </c>
      <c r="B265" s="131">
        <v>196.93</v>
      </c>
      <c r="C265" s="119">
        <v>186.74030999999999</v>
      </c>
      <c r="D265" s="119">
        <v>193.45</v>
      </c>
      <c r="E265" s="119">
        <v>214.24917000000002</v>
      </c>
      <c r="F265" s="119">
        <v>210.04</v>
      </c>
      <c r="G265" s="119">
        <v>225.56809000000001</v>
      </c>
      <c r="H265" s="119">
        <v>237.78529</v>
      </c>
      <c r="I265" s="119">
        <v>224.88</v>
      </c>
      <c r="J265" s="119">
        <v>217.59786</v>
      </c>
      <c r="K265" s="119">
        <v>229.29</v>
      </c>
      <c r="L265" s="119">
        <v>215.91589000000002</v>
      </c>
      <c r="M265" s="119">
        <v>184.92271</v>
      </c>
      <c r="N265" s="119">
        <v>183.77</v>
      </c>
      <c r="O265" s="119">
        <v>179.81970999999999</v>
      </c>
      <c r="P265" s="119">
        <v>177.58296999999999</v>
      </c>
      <c r="Q265" s="119">
        <v>174.11854</v>
      </c>
      <c r="R265" s="119">
        <v>176.01648</v>
      </c>
      <c r="S265" s="119">
        <v>176.01648</v>
      </c>
    </row>
    <row r="266" spans="1:19" s="118" customFormat="1" ht="16.149999999999999" customHeight="1">
      <c r="A266" s="120" t="s">
        <v>161</v>
      </c>
      <c r="B266" s="131">
        <v>243.77</v>
      </c>
      <c r="C266" s="119">
        <v>262.63646999999997</v>
      </c>
      <c r="D266" s="119">
        <v>240.01</v>
      </c>
      <c r="E266" s="119">
        <v>252.44310999999999</v>
      </c>
      <c r="F266" s="119">
        <v>801.67</v>
      </c>
      <c r="G266" s="119">
        <v>1342.2809600000001</v>
      </c>
      <c r="H266" s="119">
        <v>1325.1093699999999</v>
      </c>
      <c r="I266" s="119">
        <v>1105.97</v>
      </c>
      <c r="J266" s="119">
        <v>1123.7006699999999</v>
      </c>
      <c r="K266" s="119">
        <v>1332.45</v>
      </c>
      <c r="L266" s="119">
        <v>1191.65464</v>
      </c>
      <c r="M266" s="119">
        <v>597.56458999999995</v>
      </c>
      <c r="N266" s="119">
        <v>556.32000000000005</v>
      </c>
      <c r="O266" s="119">
        <v>539.70799</v>
      </c>
      <c r="P266" s="119">
        <v>578.00055000000009</v>
      </c>
      <c r="Q266" s="119">
        <v>533.43326000000002</v>
      </c>
      <c r="R266" s="119">
        <v>1033.5529000000001</v>
      </c>
      <c r="S266" s="119">
        <v>1024.78954</v>
      </c>
    </row>
    <row r="267" spans="1:19" s="118" customFormat="1" ht="16.149999999999999" customHeight="1">
      <c r="A267" s="120" t="s">
        <v>160</v>
      </c>
      <c r="B267" s="131">
        <v>12</v>
      </c>
      <c r="C267" s="119">
        <v>13.477679999999999</v>
      </c>
      <c r="D267" s="119">
        <v>13.46</v>
      </c>
      <c r="E267" s="119">
        <v>13.36192</v>
      </c>
      <c r="F267" s="119">
        <v>14.42</v>
      </c>
      <c r="G267" s="119">
        <v>14.39822</v>
      </c>
      <c r="H267" s="119">
        <v>16.45007</v>
      </c>
      <c r="I267" s="119">
        <v>17.100000000000001</v>
      </c>
      <c r="J267" s="119">
        <v>15.72209</v>
      </c>
      <c r="K267" s="119">
        <v>14.59</v>
      </c>
      <c r="L267" s="119">
        <v>9.79725</v>
      </c>
      <c r="M267" s="119">
        <v>8.9522499999999994</v>
      </c>
      <c r="N267" s="119">
        <v>8.99</v>
      </c>
      <c r="O267" s="119">
        <v>9.43506</v>
      </c>
      <c r="P267" s="119">
        <v>12.080639999999999</v>
      </c>
      <c r="Q267" s="119">
        <v>13.40095</v>
      </c>
      <c r="R267" s="119">
        <v>11.81565</v>
      </c>
      <c r="S267" s="119">
        <v>11.81565</v>
      </c>
    </row>
    <row r="268" spans="1:19" s="118" customFormat="1" ht="16.149999999999999" customHeight="1">
      <c r="A268" s="120" t="s">
        <v>159</v>
      </c>
      <c r="B268" s="131">
        <v>385.48</v>
      </c>
      <c r="C268" s="119">
        <v>500.28829999999999</v>
      </c>
      <c r="D268" s="119">
        <v>181.99</v>
      </c>
      <c r="E268" s="119">
        <v>102.81567</v>
      </c>
      <c r="F268" s="119">
        <v>291.55</v>
      </c>
      <c r="G268" s="119">
        <v>13.486090000000001</v>
      </c>
      <c r="H268" s="119">
        <v>18.552530000000001</v>
      </c>
      <c r="I268" s="119">
        <v>11.23</v>
      </c>
      <c r="J268" s="119">
        <v>11.2751</v>
      </c>
      <c r="K268" s="119">
        <v>11.77</v>
      </c>
      <c r="L268" s="119">
        <v>28.557410000000001</v>
      </c>
      <c r="M268" s="119">
        <v>512.19415000000004</v>
      </c>
      <c r="N268" s="119">
        <v>270.81</v>
      </c>
      <c r="O268" s="119">
        <v>274.76900000000001</v>
      </c>
      <c r="P268" s="119">
        <v>57.362839999999998</v>
      </c>
      <c r="Q268" s="119">
        <v>82.526529999999994</v>
      </c>
      <c r="R268" s="119">
        <v>26.254840000000002</v>
      </c>
      <c r="S268" s="119">
        <v>26.254840000000002</v>
      </c>
    </row>
    <row r="269" spans="1:19" s="118" customFormat="1" ht="16.149999999999999" customHeight="1">
      <c r="A269" s="120" t="s">
        <v>158</v>
      </c>
      <c r="B269" s="131"/>
      <c r="C269" s="119"/>
      <c r="D269" s="119">
        <v>380.57</v>
      </c>
      <c r="E269" s="119">
        <v>309.60659000000004</v>
      </c>
      <c r="F269" s="119">
        <v>313.64999999999998</v>
      </c>
      <c r="G269" s="119">
        <v>662.23832000000004</v>
      </c>
      <c r="H269" s="119">
        <v>904.31120999999996</v>
      </c>
      <c r="I269" s="119">
        <v>792.21</v>
      </c>
      <c r="J269" s="119">
        <v>709.41736000000003</v>
      </c>
      <c r="K269" s="119">
        <v>557.54</v>
      </c>
      <c r="L269" s="119">
        <v>352.5634</v>
      </c>
      <c r="M269" s="119">
        <v>272.25720000000001</v>
      </c>
      <c r="N269" s="119">
        <v>232.08</v>
      </c>
      <c r="O269" s="119">
        <v>231.64838</v>
      </c>
      <c r="P269" s="119">
        <v>557.97564</v>
      </c>
      <c r="Q269" s="119">
        <v>592.02175999999997</v>
      </c>
      <c r="R269" s="119">
        <v>428.78906000000001</v>
      </c>
      <c r="S269" s="119">
        <v>428.78906000000001</v>
      </c>
    </row>
    <row r="270" spans="1:19" s="118" customFormat="1" ht="16.149999999999999" customHeight="1">
      <c r="A270" s="120" t="s">
        <v>157</v>
      </c>
      <c r="B270" s="131"/>
      <c r="C270" s="119"/>
      <c r="D270" s="119"/>
      <c r="E270" s="119"/>
      <c r="F270" s="119"/>
      <c r="G270" s="119"/>
      <c r="H270" s="119"/>
      <c r="I270" s="119"/>
      <c r="J270" s="119"/>
      <c r="K270" s="119"/>
      <c r="L270" s="119"/>
      <c r="M270" s="119">
        <v>66.781850000000006</v>
      </c>
      <c r="N270" s="119">
        <v>80.78</v>
      </c>
      <c r="O270" s="119">
        <v>79.206540000000004</v>
      </c>
      <c r="P270" s="119">
        <v>64.197379999999995</v>
      </c>
      <c r="Q270" s="119">
        <v>58.554900000000004</v>
      </c>
      <c r="R270" s="119">
        <v>54.728180000000002</v>
      </c>
      <c r="S270" s="131">
        <v>43.960999999999999</v>
      </c>
    </row>
    <row r="271" spans="1:19" s="118" customFormat="1" ht="16.149999999999999" customHeight="1">
      <c r="A271" s="120" t="s">
        <v>156</v>
      </c>
      <c r="B271" s="131"/>
      <c r="C271" s="119"/>
      <c r="D271" s="119"/>
      <c r="E271" s="119"/>
      <c r="F271" s="119"/>
      <c r="G271" s="119"/>
      <c r="H271" s="119"/>
      <c r="I271" s="119"/>
      <c r="J271" s="119"/>
      <c r="K271" s="119"/>
      <c r="L271" s="119"/>
      <c r="M271" s="119"/>
      <c r="N271" s="119"/>
      <c r="O271" s="119">
        <v>80.334460000000007</v>
      </c>
      <c r="P271" s="119">
        <v>193.76921999999999</v>
      </c>
      <c r="Q271" s="119">
        <v>259.27175</v>
      </c>
      <c r="R271" s="119">
        <v>283.32143000000002</v>
      </c>
      <c r="S271" s="119">
        <v>283.32143000000002</v>
      </c>
    </row>
    <row r="272" spans="1:19" s="118" customFormat="1" ht="16.149999999999999" customHeight="1">
      <c r="A272" s="120" t="s">
        <v>155</v>
      </c>
      <c r="B272" s="131"/>
      <c r="C272" s="119"/>
      <c r="D272" s="119"/>
      <c r="E272" s="119"/>
      <c r="F272" s="119"/>
      <c r="G272" s="119"/>
      <c r="H272" s="119"/>
      <c r="I272" s="119"/>
      <c r="J272" s="119"/>
      <c r="K272" s="119"/>
      <c r="L272" s="119"/>
      <c r="M272" s="119"/>
      <c r="N272" s="119"/>
      <c r="O272" s="119"/>
      <c r="P272" s="119"/>
      <c r="Q272" s="119"/>
      <c r="R272" s="119">
        <v>2058.1692699999999</v>
      </c>
      <c r="S272" s="119">
        <v>2053.5387799999999</v>
      </c>
    </row>
    <row r="273" spans="1:20" s="118" customFormat="1" ht="16.149999999999999" customHeight="1">
      <c r="A273" s="120" t="s">
        <v>154</v>
      </c>
      <c r="B273" s="131">
        <v>58.41</v>
      </c>
      <c r="C273" s="119">
        <v>193.45220999999998</v>
      </c>
      <c r="D273" s="119">
        <v>333</v>
      </c>
      <c r="E273" s="119">
        <v>165.71314000000001</v>
      </c>
      <c r="F273" s="119">
        <v>65.08</v>
      </c>
      <c r="G273" s="119">
        <v>235.12235999999999</v>
      </c>
      <c r="H273" s="119">
        <v>271.59609999999998</v>
      </c>
      <c r="I273" s="119">
        <v>231.74</v>
      </c>
      <c r="J273" s="119">
        <v>97.76982000000001</v>
      </c>
      <c r="K273" s="119">
        <v>245.15</v>
      </c>
      <c r="L273" s="119">
        <v>114.99378</v>
      </c>
      <c r="M273" s="119">
        <v>67.439960000000013</v>
      </c>
      <c r="N273" s="119">
        <v>161.1</v>
      </c>
      <c r="O273" s="119">
        <v>345.38261999999997</v>
      </c>
      <c r="P273" s="119">
        <v>123.12123</v>
      </c>
      <c r="Q273" s="119">
        <v>72.149330000000006</v>
      </c>
      <c r="R273" s="119">
        <v>62.866690000000006</v>
      </c>
      <c r="S273" s="119">
        <v>62.866690000000006</v>
      </c>
    </row>
    <row r="274" spans="1:20" s="118" customFormat="1" ht="16.149999999999999" customHeight="1">
      <c r="A274" s="120" t="s">
        <v>153</v>
      </c>
      <c r="B274" s="131">
        <v>1699.14</v>
      </c>
      <c r="C274" s="119">
        <v>1826.9614099999999</v>
      </c>
      <c r="D274" s="119">
        <v>1970.42</v>
      </c>
      <c r="E274" s="119">
        <v>2173.37637</v>
      </c>
      <c r="F274" s="119">
        <v>2113.35</v>
      </c>
      <c r="G274" s="119">
        <v>2078.7244999999998</v>
      </c>
      <c r="H274" s="119">
        <v>2005.56223</v>
      </c>
      <c r="I274" s="119">
        <v>2094.5500000000002</v>
      </c>
      <c r="J274" s="119">
        <v>2139.37444</v>
      </c>
      <c r="K274" s="119">
        <v>2063.73</v>
      </c>
      <c r="L274" s="119">
        <v>1980.3126599999998</v>
      </c>
      <c r="M274" s="119">
        <v>1750.93345</v>
      </c>
      <c r="N274" s="119">
        <v>1983.93</v>
      </c>
      <c r="O274" s="119">
        <v>2351.2936800000002</v>
      </c>
      <c r="P274" s="119">
        <v>3030.6435499999998</v>
      </c>
      <c r="Q274" s="119">
        <v>2338.6333800000002</v>
      </c>
      <c r="R274" s="119">
        <v>0</v>
      </c>
      <c r="S274" s="119"/>
    </row>
    <row r="275" spans="1:20" s="118" customFormat="1" ht="16.149999999999999" customHeight="1" thickBot="1">
      <c r="A275" s="120" t="s">
        <v>152</v>
      </c>
      <c r="B275" s="131"/>
      <c r="C275" s="119">
        <v>2290.34</v>
      </c>
      <c r="D275" s="119">
        <v>2345.1999999999998</v>
      </c>
      <c r="E275" s="119">
        <v>2490.52</v>
      </c>
      <c r="F275" s="119">
        <v>2678.94</v>
      </c>
      <c r="G275" s="119">
        <v>2858.5140000000001</v>
      </c>
      <c r="H275" s="119">
        <v>3051.2138</v>
      </c>
      <c r="I275" s="119">
        <v>3152.09</v>
      </c>
      <c r="J275" s="119">
        <v>3704.9775</v>
      </c>
      <c r="K275" s="119">
        <v>2440.44</v>
      </c>
      <c r="L275" s="119">
        <v>2322.8090000000002</v>
      </c>
      <c r="M275" s="119">
        <v>2595.4617899999998</v>
      </c>
      <c r="N275" s="119">
        <v>2665.18</v>
      </c>
      <c r="O275" s="119">
        <v>2581.1999999999998</v>
      </c>
      <c r="P275" s="119">
        <v>2467.88</v>
      </c>
      <c r="Q275" s="119">
        <v>2366.7399999999998</v>
      </c>
      <c r="R275" s="119">
        <v>2276.6799999999998</v>
      </c>
      <c r="S275" s="119">
        <v>2276.6799999999998</v>
      </c>
    </row>
    <row r="276" spans="1:20" s="118" customFormat="1" ht="16.149999999999999" customHeight="1" thickBot="1">
      <c r="A276" s="130" t="s">
        <v>151</v>
      </c>
      <c r="B276" s="129">
        <f t="shared" ref="B276:R276" si="28">SUM(B248:B275)</f>
        <v>3640.55</v>
      </c>
      <c r="C276" s="129">
        <f t="shared" si="28"/>
        <v>6292.4447600000003</v>
      </c>
      <c r="D276" s="129">
        <f t="shared" si="28"/>
        <v>6753.92</v>
      </c>
      <c r="E276" s="129">
        <f t="shared" si="28"/>
        <v>6712.2262599999995</v>
      </c>
      <c r="F276" s="129">
        <f t="shared" si="28"/>
        <v>7571.1</v>
      </c>
      <c r="G276" s="129">
        <f t="shared" si="28"/>
        <v>8553.3288900000007</v>
      </c>
      <c r="H276" s="129">
        <f t="shared" si="28"/>
        <v>9029.3788799999984</v>
      </c>
      <c r="I276" s="129">
        <f t="shared" si="28"/>
        <v>9021.41</v>
      </c>
      <c r="J276" s="129">
        <f t="shared" si="28"/>
        <v>9314.3071899999995</v>
      </c>
      <c r="K276" s="135">
        <f t="shared" si="28"/>
        <v>8014.2389400000011</v>
      </c>
      <c r="L276" s="129">
        <f t="shared" si="28"/>
        <v>6991.6826199999996</v>
      </c>
      <c r="M276" s="129">
        <f t="shared" si="28"/>
        <v>29843.770649999999</v>
      </c>
      <c r="N276" s="129">
        <f t="shared" si="28"/>
        <v>29905.732640000006</v>
      </c>
      <c r="O276" s="129">
        <f t="shared" si="28"/>
        <v>28417.446839999993</v>
      </c>
      <c r="P276" s="129">
        <f t="shared" si="28"/>
        <v>33999.428410000008</v>
      </c>
      <c r="Q276" s="129">
        <f t="shared" si="28"/>
        <v>24728.302830000001</v>
      </c>
      <c r="R276" s="129">
        <f t="shared" si="28"/>
        <v>24658.607359999995</v>
      </c>
      <c r="S276" s="135">
        <f>SUM(S247:S275)</f>
        <v>24642.567709999999</v>
      </c>
    </row>
    <row r="277" spans="1:20" s="132" customFormat="1" ht="16.149999999999999" customHeight="1">
      <c r="A277" s="120" t="s">
        <v>150</v>
      </c>
      <c r="B277" s="131">
        <v>30.16</v>
      </c>
      <c r="C277" s="119">
        <v>39.4161</v>
      </c>
      <c r="D277" s="119">
        <v>44.34</v>
      </c>
      <c r="E277" s="119">
        <v>42.162379999999999</v>
      </c>
      <c r="F277" s="119">
        <v>42.27</v>
      </c>
      <c r="G277" s="119">
        <v>54.350619999999999</v>
      </c>
      <c r="H277" s="119">
        <v>63.142519999999998</v>
      </c>
      <c r="I277" s="119">
        <v>20066.62</v>
      </c>
      <c r="J277" s="119">
        <v>65.284660000000002</v>
      </c>
      <c r="K277" s="119">
        <v>55.537999999999997</v>
      </c>
      <c r="L277" s="119">
        <v>3932.6995499999998</v>
      </c>
      <c r="M277" s="119">
        <v>4285.6627199999994</v>
      </c>
      <c r="N277" s="119">
        <v>8445.99</v>
      </c>
      <c r="O277" s="119">
        <v>575.80759</v>
      </c>
      <c r="P277" s="119">
        <v>349.42649</v>
      </c>
      <c r="Q277" s="119">
        <v>26.729330000000001</v>
      </c>
      <c r="R277" s="119">
        <v>7.9132199999999999</v>
      </c>
      <c r="S277" s="119">
        <v>7.9132199999999999</v>
      </c>
      <c r="T277" s="118"/>
    </row>
    <row r="278" spans="1:20" s="118" customFormat="1" ht="16.149999999999999" customHeight="1">
      <c r="A278" s="134" t="s">
        <v>149</v>
      </c>
      <c r="B278" s="131">
        <v>47.48</v>
      </c>
      <c r="C278" s="119">
        <v>46.525010000000002</v>
      </c>
      <c r="D278" s="119">
        <v>45.28</v>
      </c>
      <c r="E278" s="119">
        <v>47.325699999999998</v>
      </c>
      <c r="F278" s="119">
        <v>49.21</v>
      </c>
      <c r="G278" s="119">
        <v>53.444589999999998</v>
      </c>
      <c r="H278" s="119">
        <v>56.948720000000002</v>
      </c>
      <c r="I278" s="119">
        <v>57.84</v>
      </c>
      <c r="J278" s="119">
        <v>53.154120000000006</v>
      </c>
      <c r="K278" s="119">
        <v>48.071120000000001</v>
      </c>
      <c r="L278" s="119">
        <v>59.336059999999996</v>
      </c>
      <c r="M278" s="119">
        <v>58.490830000000003</v>
      </c>
      <c r="N278" s="119">
        <v>59.11</v>
      </c>
      <c r="O278" s="119">
        <v>61.23386</v>
      </c>
      <c r="P278" s="119">
        <v>63.21058</v>
      </c>
      <c r="Q278" s="119">
        <v>61.903640000000003</v>
      </c>
      <c r="R278" s="119">
        <v>65.461339999999993</v>
      </c>
      <c r="S278" s="119">
        <v>55.932580000000002</v>
      </c>
    </row>
    <row r="279" spans="1:20" s="118" customFormat="1" ht="16.149999999999999" customHeight="1">
      <c r="A279" s="120" t="s">
        <v>148</v>
      </c>
      <c r="B279" s="131"/>
      <c r="C279" s="119"/>
      <c r="D279" s="119">
        <v>6.51</v>
      </c>
      <c r="E279" s="119">
        <v>7.5423599999999995</v>
      </c>
      <c r="F279" s="119">
        <v>7.4</v>
      </c>
      <c r="G279" s="119">
        <v>7.9533300000000002</v>
      </c>
      <c r="H279" s="119">
        <v>8.2494899999999998</v>
      </c>
      <c r="I279" s="119">
        <v>8.41</v>
      </c>
      <c r="J279" s="119">
        <v>8.549430000000001</v>
      </c>
      <c r="K279" s="119">
        <v>6.7679999999999998</v>
      </c>
      <c r="L279" s="119">
        <v>6.5348300000000004</v>
      </c>
      <c r="M279" s="119">
        <v>6.1706499999999993</v>
      </c>
      <c r="N279" s="119">
        <v>5.79</v>
      </c>
      <c r="O279" s="119">
        <v>5.6590699999999998</v>
      </c>
      <c r="P279" s="119">
        <v>5.6548800000000004</v>
      </c>
      <c r="Q279" s="119">
        <v>5.4861599999999999</v>
      </c>
      <c r="R279" s="119">
        <v>5.5827399999999994</v>
      </c>
      <c r="S279" s="119">
        <v>5.5827399999999994</v>
      </c>
    </row>
    <row r="280" spans="1:20" s="118" customFormat="1" ht="16.149999999999999" customHeight="1">
      <c r="A280" s="120" t="s">
        <v>147</v>
      </c>
      <c r="B280" s="131">
        <v>73.3</v>
      </c>
      <c r="C280" s="119">
        <v>72.516009999999994</v>
      </c>
      <c r="D280" s="119">
        <v>73.81</v>
      </c>
      <c r="E280" s="119">
        <v>74.857740000000007</v>
      </c>
      <c r="F280" s="119">
        <v>79.38</v>
      </c>
      <c r="G280" s="119">
        <v>83.578879999999998</v>
      </c>
      <c r="H280" s="119">
        <v>85.702820000000003</v>
      </c>
      <c r="I280" s="119">
        <v>87.59</v>
      </c>
      <c r="J280" s="119">
        <v>88.0762</v>
      </c>
      <c r="K280" s="119">
        <v>81.308269999999993</v>
      </c>
      <c r="L280" s="119">
        <v>79.087369999999993</v>
      </c>
      <c r="M280" s="119">
        <v>75.294579999999996</v>
      </c>
      <c r="N280" s="119">
        <v>75.010000000000005</v>
      </c>
      <c r="O280" s="119">
        <v>74.181449999999998</v>
      </c>
      <c r="P280" s="119">
        <v>74.121320000000011</v>
      </c>
      <c r="Q280" s="119">
        <v>73.259649999999993</v>
      </c>
      <c r="R280" s="119">
        <v>74.980620000000002</v>
      </c>
      <c r="S280" s="131">
        <v>84.509380000000007</v>
      </c>
    </row>
    <row r="281" spans="1:20" s="118" customFormat="1" ht="16.149999999999999" customHeight="1">
      <c r="A281" s="120" t="s">
        <v>146</v>
      </c>
      <c r="B281" s="131"/>
      <c r="C281" s="119"/>
      <c r="D281" s="119"/>
      <c r="E281" s="119"/>
      <c r="F281" s="119"/>
      <c r="G281" s="119"/>
      <c r="H281" s="119"/>
      <c r="I281" s="119"/>
      <c r="J281" s="119"/>
      <c r="K281" s="119"/>
      <c r="L281" s="119"/>
      <c r="M281" s="119"/>
      <c r="N281" s="119">
        <v>4.4800000000000004</v>
      </c>
      <c r="O281" s="119">
        <v>4.4844200000000001</v>
      </c>
      <c r="P281" s="119">
        <v>4.4844200000000001</v>
      </c>
      <c r="Q281" s="119">
        <v>4.6749999999999998</v>
      </c>
      <c r="R281" s="119">
        <v>7.0428300000000004</v>
      </c>
      <c r="S281" s="119">
        <v>7.0428300000000004</v>
      </c>
    </row>
    <row r="282" spans="1:20" s="118" customFormat="1" ht="16.149999999999999" customHeight="1">
      <c r="A282" s="120" t="s">
        <v>145</v>
      </c>
      <c r="B282" s="131">
        <v>996.1</v>
      </c>
      <c r="C282" s="119">
        <v>1029.55393</v>
      </c>
      <c r="D282" s="119">
        <v>1082.78</v>
      </c>
      <c r="E282" s="119">
        <v>1110.56421</v>
      </c>
      <c r="F282" s="119">
        <v>1151.4100000000001</v>
      </c>
      <c r="G282" s="119">
        <v>1201.74704</v>
      </c>
      <c r="H282" s="119">
        <v>1248.0488600000001</v>
      </c>
      <c r="I282" s="119">
        <v>1208.98</v>
      </c>
      <c r="J282" s="119">
        <v>1135.1511799999998</v>
      </c>
      <c r="K282" s="119">
        <v>1078.7586100000001</v>
      </c>
      <c r="L282" s="119">
        <v>1027.0089800000001</v>
      </c>
      <c r="M282" s="119">
        <v>948.18915000000004</v>
      </c>
      <c r="N282" s="119">
        <v>949.2</v>
      </c>
      <c r="O282" s="119">
        <v>996.63985000000002</v>
      </c>
      <c r="P282" s="119">
        <v>999.47818000000007</v>
      </c>
      <c r="Q282" s="119">
        <v>1059.9855600000001</v>
      </c>
      <c r="R282" s="119">
        <v>1088.74038</v>
      </c>
      <c r="S282" s="119">
        <v>1088.74038</v>
      </c>
    </row>
    <row r="283" spans="1:20" s="118" customFormat="1" ht="16.149999999999999" customHeight="1">
      <c r="A283" s="120" t="s">
        <v>144</v>
      </c>
      <c r="B283" s="131">
        <v>101.99</v>
      </c>
      <c r="C283" s="119">
        <v>103.01383</v>
      </c>
      <c r="D283" s="119">
        <v>106.59</v>
      </c>
      <c r="E283" s="119">
        <v>114.03732000000001</v>
      </c>
      <c r="F283" s="119">
        <v>120.27</v>
      </c>
      <c r="G283" s="119">
        <v>126.76427</v>
      </c>
      <c r="H283" s="119">
        <v>133.60751999999999</v>
      </c>
      <c r="I283" s="119">
        <v>135.25</v>
      </c>
      <c r="J283" s="119">
        <v>117.18646000000001</v>
      </c>
      <c r="K283" s="119">
        <v>108.98305000000001</v>
      </c>
      <c r="L283" s="119">
        <v>103.49109</v>
      </c>
      <c r="M283" s="119">
        <v>98.348520000000008</v>
      </c>
      <c r="N283" s="119">
        <v>136.63999999999999</v>
      </c>
      <c r="O283" s="119">
        <v>131.44108</v>
      </c>
      <c r="P283" s="119">
        <v>132.04464999999999</v>
      </c>
      <c r="Q283" s="119">
        <v>121.79125999999999</v>
      </c>
      <c r="R283" s="119">
        <v>110.45658999999999</v>
      </c>
      <c r="S283" s="119">
        <v>110.45658999999999</v>
      </c>
    </row>
    <row r="284" spans="1:20" s="118" customFormat="1" ht="16.149999999999999" customHeight="1" thickBot="1">
      <c r="A284" s="120" t="s">
        <v>143</v>
      </c>
      <c r="B284" s="131">
        <v>24.94</v>
      </c>
      <c r="C284" s="119">
        <v>26.44445</v>
      </c>
      <c r="D284" s="119">
        <v>27.2</v>
      </c>
      <c r="E284" s="119">
        <v>28.076430000000002</v>
      </c>
      <c r="F284" s="119">
        <v>29.12</v>
      </c>
      <c r="G284" s="119">
        <v>30.542619999999999</v>
      </c>
      <c r="H284" s="119">
        <v>31.357759999999999</v>
      </c>
      <c r="I284" s="119">
        <v>32.18</v>
      </c>
      <c r="J284" s="119">
        <v>32.558050000000001</v>
      </c>
      <c r="K284" s="119">
        <v>29.905999999999999</v>
      </c>
      <c r="L284" s="119">
        <v>29.560470000000002</v>
      </c>
      <c r="M284" s="119">
        <v>29.43159</v>
      </c>
      <c r="N284" s="119">
        <v>28.65</v>
      </c>
      <c r="O284" s="119">
        <v>28.356780000000001</v>
      </c>
      <c r="P284" s="119">
        <v>28.39461</v>
      </c>
      <c r="Q284" s="119">
        <v>28.55978</v>
      </c>
      <c r="R284" s="119">
        <v>29.351130000000001</v>
      </c>
      <c r="S284" s="119">
        <v>29.351130000000001</v>
      </c>
    </row>
    <row r="285" spans="1:20" s="118" customFormat="1" ht="16.149999999999999" customHeight="1" thickBot="1">
      <c r="A285" s="130" t="s">
        <v>142</v>
      </c>
      <c r="B285" s="129">
        <f t="shared" ref="B285:K285" si="29">SUM(B277:B284)</f>
        <v>1273.97</v>
      </c>
      <c r="C285" s="129">
        <f t="shared" si="29"/>
        <v>1317.4693300000001</v>
      </c>
      <c r="D285" s="129">
        <f t="shared" si="29"/>
        <v>1386.51</v>
      </c>
      <c r="E285" s="129">
        <f t="shared" si="29"/>
        <v>1424.5661399999999</v>
      </c>
      <c r="F285" s="129">
        <f t="shared" si="29"/>
        <v>1479.06</v>
      </c>
      <c r="G285" s="129">
        <f t="shared" si="29"/>
        <v>1558.3813499999999</v>
      </c>
      <c r="H285" s="129">
        <f t="shared" si="29"/>
        <v>1627.0576900000003</v>
      </c>
      <c r="I285" s="129">
        <f t="shared" si="29"/>
        <v>21596.87</v>
      </c>
      <c r="J285" s="129">
        <f t="shared" si="29"/>
        <v>1499.9600999999998</v>
      </c>
      <c r="K285" s="129">
        <f t="shared" si="29"/>
        <v>1409.33305</v>
      </c>
      <c r="L285" s="129">
        <f t="shared" ref="L285:S285" si="30">SUM(L277:L284)</f>
        <v>5237.718350000001</v>
      </c>
      <c r="M285" s="129">
        <f t="shared" si="30"/>
        <v>5501.5880399999987</v>
      </c>
      <c r="N285" s="129">
        <f t="shared" si="30"/>
        <v>9704.8700000000008</v>
      </c>
      <c r="O285" s="129">
        <f t="shared" si="30"/>
        <v>1877.8041000000003</v>
      </c>
      <c r="P285" s="129">
        <f t="shared" si="30"/>
        <v>1656.8151300000002</v>
      </c>
      <c r="Q285" s="129">
        <f t="shared" si="30"/>
        <v>1382.3903800000001</v>
      </c>
      <c r="R285" s="129">
        <f t="shared" si="30"/>
        <v>1389.5288499999999</v>
      </c>
      <c r="S285" s="129">
        <f t="shared" si="30"/>
        <v>1389.5288499999999</v>
      </c>
    </row>
    <row r="286" spans="1:20" s="118" customFormat="1" ht="16.149999999999999" customHeight="1">
      <c r="A286" s="120" t="s">
        <v>425</v>
      </c>
      <c r="B286" s="162">
        <v>21735.59</v>
      </c>
      <c r="C286" s="119">
        <v>25157.12269</v>
      </c>
      <c r="D286" s="119">
        <v>25658.33</v>
      </c>
      <c r="E286" s="119">
        <v>28329.08855</v>
      </c>
      <c r="F286" s="119">
        <v>30385.58</v>
      </c>
      <c r="G286" s="119">
        <v>33411.669589999998</v>
      </c>
      <c r="H286" s="119">
        <v>36472.306830000001</v>
      </c>
      <c r="I286" s="119">
        <v>35470.36</v>
      </c>
      <c r="J286" s="119">
        <v>30361.914559999997</v>
      </c>
      <c r="K286" s="119">
        <v>14797.87</v>
      </c>
      <c r="L286" s="119">
        <v>21806.230660000001</v>
      </c>
      <c r="M286" s="119">
        <v>19771.67352</v>
      </c>
      <c r="N286" s="119">
        <v>16041.19</v>
      </c>
      <c r="O286" s="119">
        <v>17081.699229999998</v>
      </c>
      <c r="P286" s="119">
        <v>17388.239399999999</v>
      </c>
      <c r="Q286" s="119">
        <v>17548.423009999999</v>
      </c>
      <c r="R286" s="119">
        <v>18266.441059999997</v>
      </c>
      <c r="S286" s="119">
        <v>18266.441059999997</v>
      </c>
    </row>
    <row r="287" spans="1:20" s="118" customFormat="1" ht="16.149999999999999" customHeight="1">
      <c r="A287" s="120" t="s">
        <v>426</v>
      </c>
      <c r="B287" s="131">
        <v>894.7</v>
      </c>
      <c r="C287" s="119">
        <v>955.77370999999994</v>
      </c>
      <c r="D287" s="119">
        <v>1011.21</v>
      </c>
      <c r="E287" s="119">
        <v>1061.81475</v>
      </c>
      <c r="F287" s="119">
        <v>1159.8900000000001</v>
      </c>
      <c r="G287" s="119">
        <v>1237.5999999999999</v>
      </c>
      <c r="H287" s="119">
        <v>1337.9816000000001</v>
      </c>
      <c r="I287" s="119">
        <v>1353.77</v>
      </c>
      <c r="J287" s="119">
        <v>1225.77</v>
      </c>
      <c r="K287" s="119">
        <v>1074.3699999999999</v>
      </c>
      <c r="L287" s="119">
        <v>671.58</v>
      </c>
      <c r="M287" s="119">
        <v>671.58</v>
      </c>
      <c r="N287" s="119">
        <v>582.42999999999995</v>
      </c>
      <c r="O287" s="119">
        <v>582.42999999999995</v>
      </c>
      <c r="P287" s="119">
        <v>582.42999999999995</v>
      </c>
      <c r="Q287" s="119">
        <v>582.42999999999995</v>
      </c>
      <c r="R287" s="119">
        <v>582.42999999999995</v>
      </c>
      <c r="S287" s="119">
        <v>582.42999999999995</v>
      </c>
    </row>
    <row r="288" spans="1:20" s="118" customFormat="1" ht="16.149999999999999" customHeight="1">
      <c r="A288" s="136" t="s">
        <v>128</v>
      </c>
      <c r="B288" s="162">
        <v>623.08973146779181</v>
      </c>
      <c r="C288" s="131">
        <v>207.36442</v>
      </c>
      <c r="D288" s="131">
        <v>129.81</v>
      </c>
      <c r="E288" s="131">
        <v>134.13566</v>
      </c>
      <c r="F288" s="131">
        <v>719.87</v>
      </c>
      <c r="G288" s="131">
        <v>815.34</v>
      </c>
      <c r="H288" s="131">
        <v>1245.52</v>
      </c>
      <c r="I288" s="131">
        <v>2259.61</v>
      </c>
      <c r="J288" s="131">
        <v>12361.848400000001</v>
      </c>
      <c r="K288" s="131">
        <v>1193.1300000000001</v>
      </c>
      <c r="L288" s="131">
        <v>497.7</v>
      </c>
      <c r="M288" s="131">
        <v>197.7</v>
      </c>
      <c r="N288" s="131">
        <v>500</v>
      </c>
      <c r="O288" s="131">
        <v>492.3</v>
      </c>
      <c r="P288" s="131">
        <v>444.3</v>
      </c>
      <c r="Q288" s="131">
        <f>429.55+30</f>
        <v>459.55</v>
      </c>
      <c r="R288" s="131">
        <v>685.39595999999995</v>
      </c>
      <c r="S288" s="131">
        <v>685.39595999999995</v>
      </c>
    </row>
    <row r="289" spans="1:20" s="118" customFormat="1" ht="16.149999999999999" customHeight="1">
      <c r="A289" s="120" t="s">
        <v>427</v>
      </c>
      <c r="B289" s="131">
        <v>161.88</v>
      </c>
      <c r="C289" s="119">
        <v>161.73267000000001</v>
      </c>
      <c r="D289" s="119">
        <v>161.81</v>
      </c>
      <c r="E289" s="119">
        <v>165.98657</v>
      </c>
      <c r="F289" s="119">
        <v>168.15</v>
      </c>
      <c r="G289" s="119">
        <v>190.65982</v>
      </c>
      <c r="H289" s="119">
        <v>186.16005999999999</v>
      </c>
      <c r="I289" s="119">
        <v>202.87</v>
      </c>
      <c r="J289" s="119">
        <v>5159.5395699999999</v>
      </c>
      <c r="K289" s="119">
        <v>140.63999999999999</v>
      </c>
      <c r="L289" s="119">
        <v>33.387</v>
      </c>
      <c r="M289" s="119">
        <v>15.16281</v>
      </c>
      <c r="N289" s="119">
        <v>5.87</v>
      </c>
      <c r="O289" s="119">
        <v>8.8184299999999993</v>
      </c>
      <c r="P289" s="119">
        <v>6.6370299999999993</v>
      </c>
      <c r="Q289" s="119">
        <f>36.07023-30</f>
        <v>6.0702300000000022</v>
      </c>
      <c r="R289" s="119">
        <v>37.268169999999998</v>
      </c>
      <c r="S289" s="119">
        <v>37.268169999999998</v>
      </c>
    </row>
    <row r="290" spans="1:20" s="118" customFormat="1" ht="16.149999999999999" customHeight="1">
      <c r="A290" s="120" t="s">
        <v>428</v>
      </c>
      <c r="B290" s="131">
        <v>10082.43</v>
      </c>
      <c r="C290" s="119">
        <v>10691.133039999999</v>
      </c>
      <c r="D290" s="119">
        <v>10377.52</v>
      </c>
      <c r="E290" s="119">
        <v>10937.112650000001</v>
      </c>
      <c r="F290" s="119">
        <v>12584.34</v>
      </c>
      <c r="G290" s="119">
        <v>13481.55738</v>
      </c>
      <c r="H290" s="119">
        <v>14398.2826</v>
      </c>
      <c r="I290" s="119">
        <v>14540.17</v>
      </c>
      <c r="J290" s="119">
        <v>11827.14532</v>
      </c>
      <c r="K290" s="119">
        <v>13235.98</v>
      </c>
      <c r="L290" s="119">
        <v>14683.078519999999</v>
      </c>
      <c r="M290" s="119">
        <v>15542.559939999999</v>
      </c>
      <c r="N290" s="119">
        <v>15548.31</v>
      </c>
      <c r="O290" s="119">
        <v>15850.980369999999</v>
      </c>
      <c r="P290" s="119">
        <v>16408.48345</v>
      </c>
      <c r="Q290" s="119">
        <v>16149.435659999999</v>
      </c>
      <c r="R290" s="119">
        <v>16335.69116</v>
      </c>
      <c r="S290" s="119">
        <v>16335.69116</v>
      </c>
    </row>
    <row r="291" spans="1:20" s="118" customFormat="1" ht="16.149999999999999" customHeight="1">
      <c r="A291" s="120" t="s">
        <v>429</v>
      </c>
      <c r="B291" s="131">
        <v>127.9</v>
      </c>
      <c r="C291" s="119">
        <v>109.00225999999999</v>
      </c>
      <c r="D291" s="119">
        <v>125.11</v>
      </c>
      <c r="E291" s="119">
        <v>132.61068</v>
      </c>
      <c r="F291" s="119">
        <v>182.65</v>
      </c>
      <c r="G291" s="119">
        <v>202.32955000000001</v>
      </c>
      <c r="H291" s="119">
        <v>210.48638</v>
      </c>
      <c r="I291" s="119">
        <v>224.79</v>
      </c>
      <c r="J291" s="119">
        <v>241.01575</v>
      </c>
      <c r="K291" s="119">
        <v>251.81</v>
      </c>
      <c r="L291" s="119">
        <v>223.37317000000002</v>
      </c>
      <c r="M291" s="119">
        <v>217.37317000000002</v>
      </c>
      <c r="N291" s="119">
        <v>227.7</v>
      </c>
      <c r="O291" s="119">
        <v>227.70157</v>
      </c>
      <c r="P291" s="119">
        <v>228.35157000000001</v>
      </c>
      <c r="Q291" s="119">
        <v>226.89816999999999</v>
      </c>
      <c r="R291" s="119">
        <v>218.90157000000002</v>
      </c>
      <c r="S291" s="119">
        <v>218.90157000000002</v>
      </c>
    </row>
    <row r="292" spans="1:20" s="118" customFormat="1" ht="16.149999999999999" customHeight="1">
      <c r="A292" s="120" t="s">
        <v>430</v>
      </c>
      <c r="B292" s="131">
        <v>7969.55</v>
      </c>
      <c r="C292" s="119">
        <v>8350.6510099999996</v>
      </c>
      <c r="D292" s="119">
        <v>9117.34</v>
      </c>
      <c r="E292" s="119">
        <v>9931.65</v>
      </c>
      <c r="F292" s="119">
        <v>10756.85</v>
      </c>
      <c r="G292" s="119">
        <v>11474.15005</v>
      </c>
      <c r="H292" s="119">
        <v>12208.1</v>
      </c>
      <c r="I292" s="119">
        <v>12152.02</v>
      </c>
      <c r="J292" s="119">
        <v>12202.916999999999</v>
      </c>
      <c r="K292" s="119">
        <v>11822.37</v>
      </c>
      <c r="L292" s="119">
        <v>11471.4</v>
      </c>
      <c r="M292" s="119">
        <v>11601.6</v>
      </c>
      <c r="N292" s="119">
        <v>12799.89</v>
      </c>
      <c r="O292" s="119">
        <v>12639.36</v>
      </c>
      <c r="P292" s="119">
        <v>13446.1</v>
      </c>
      <c r="Q292" s="119">
        <v>12924.704</v>
      </c>
      <c r="R292" s="119">
        <v>13003.273999999999</v>
      </c>
      <c r="S292" s="119">
        <v>13003.273999999999</v>
      </c>
    </row>
    <row r="293" spans="1:20" s="163" customFormat="1" ht="16.149999999999999" customHeight="1" thickBot="1">
      <c r="A293" s="120" t="s">
        <v>431</v>
      </c>
      <c r="B293" s="131">
        <v>117</v>
      </c>
      <c r="C293" s="119">
        <v>146</v>
      </c>
      <c r="D293" s="119">
        <v>157.80000000000001</v>
      </c>
      <c r="E293" s="119">
        <v>198.56</v>
      </c>
      <c r="F293" s="119">
        <v>189.16</v>
      </c>
      <c r="G293" s="119">
        <v>180</v>
      </c>
      <c r="H293" s="119">
        <v>215</v>
      </c>
      <c r="I293" s="119">
        <v>211</v>
      </c>
      <c r="J293" s="119">
        <v>218.42</v>
      </c>
      <c r="K293" s="119">
        <v>295</v>
      </c>
      <c r="L293" s="119">
        <v>299.32</v>
      </c>
      <c r="M293" s="119">
        <v>299</v>
      </c>
      <c r="N293" s="119">
        <v>283.39999999999998</v>
      </c>
      <c r="O293" s="119">
        <v>282.60000000000002</v>
      </c>
      <c r="P293" s="119">
        <v>311.50099999999998</v>
      </c>
      <c r="Q293" s="119">
        <v>325</v>
      </c>
      <c r="R293" s="119">
        <v>381</v>
      </c>
      <c r="S293" s="119">
        <v>381</v>
      </c>
      <c r="T293" s="118"/>
    </row>
    <row r="294" spans="1:20" ht="16.149999999999999" customHeight="1" thickBot="1">
      <c r="A294" s="130" t="s">
        <v>141</v>
      </c>
      <c r="B294" s="129">
        <f t="shared" ref="B294:M294" si="31">SUM(B286:B293)</f>
        <v>41712.139731467796</v>
      </c>
      <c r="C294" s="129">
        <f t="shared" si="31"/>
        <v>45778.779800000004</v>
      </c>
      <c r="D294" s="129">
        <f t="shared" si="31"/>
        <v>46738.930000000008</v>
      </c>
      <c r="E294" s="129">
        <f t="shared" si="31"/>
        <v>50890.958859999999</v>
      </c>
      <c r="F294" s="129">
        <f t="shared" si="31"/>
        <v>56146.490000000005</v>
      </c>
      <c r="G294" s="129">
        <f t="shared" si="31"/>
        <v>60993.306389999998</v>
      </c>
      <c r="H294" s="129">
        <f t="shared" si="31"/>
        <v>66273.837469999999</v>
      </c>
      <c r="I294" s="129">
        <f t="shared" si="31"/>
        <v>66414.59</v>
      </c>
      <c r="J294" s="129">
        <f t="shared" si="31"/>
        <v>73598.570599999992</v>
      </c>
      <c r="K294" s="129">
        <f t="shared" si="31"/>
        <v>42811.170000000006</v>
      </c>
      <c r="L294" s="129">
        <f t="shared" si="31"/>
        <v>49686.069349999998</v>
      </c>
      <c r="M294" s="129">
        <f t="shared" si="31"/>
        <v>48316.649440000001</v>
      </c>
      <c r="N294" s="129">
        <f t="shared" ref="N294:S294" si="32">SUM(N286:N293)</f>
        <v>45988.789999999994</v>
      </c>
      <c r="O294" s="129">
        <f t="shared" si="32"/>
        <v>47165.889599999995</v>
      </c>
      <c r="P294" s="129">
        <f t="shared" si="32"/>
        <v>48816.042449999994</v>
      </c>
      <c r="Q294" s="129">
        <f t="shared" si="32"/>
        <v>48222.511069999993</v>
      </c>
      <c r="R294" s="129">
        <f t="shared" si="32"/>
        <v>49510.401919999997</v>
      </c>
      <c r="S294" s="129">
        <f t="shared" si="32"/>
        <v>49510.401919999997</v>
      </c>
      <c r="T294" s="118"/>
    </row>
    <row r="295" spans="1:20" ht="16.149999999999999" customHeight="1">
      <c r="A295" s="120" t="s">
        <v>140</v>
      </c>
      <c r="B295" s="131">
        <v>16352.85</v>
      </c>
      <c r="C295" s="119">
        <v>18476.40569</v>
      </c>
      <c r="D295" s="119">
        <v>17265.849999999999</v>
      </c>
      <c r="E295" s="119">
        <v>17569.059209999999</v>
      </c>
      <c r="F295" s="119">
        <v>16470.66</v>
      </c>
      <c r="G295" s="119">
        <v>15154.066269999999</v>
      </c>
      <c r="H295" s="119">
        <v>15854.38798</v>
      </c>
      <c r="I295" s="119">
        <v>16556.830000000002</v>
      </c>
      <c r="J295" s="119">
        <v>21937.902969999999</v>
      </c>
      <c r="K295" s="119">
        <v>25697.55</v>
      </c>
      <c r="L295" s="119">
        <v>27989.62803</v>
      </c>
      <c r="M295" s="119">
        <v>37519.124939999994</v>
      </c>
      <c r="N295" s="119">
        <v>35835.24</v>
      </c>
      <c r="O295" s="119">
        <v>34926.089</v>
      </c>
      <c r="P295" s="119">
        <v>33354.987000000001</v>
      </c>
      <c r="Q295" s="119">
        <v>31883.749</v>
      </c>
      <c r="R295" s="119">
        <v>31123.521769999999</v>
      </c>
      <c r="S295" s="119">
        <v>31123.521769999999</v>
      </c>
      <c r="T295" s="118"/>
    </row>
    <row r="296" spans="1:20" ht="16.149999999999999" customHeight="1" thickBot="1">
      <c r="A296" s="120" t="s">
        <v>139</v>
      </c>
      <c r="B296" s="131">
        <v>1377</v>
      </c>
      <c r="C296" s="119">
        <v>1155.6007199999999</v>
      </c>
      <c r="D296" s="119">
        <v>1737.78</v>
      </c>
      <c r="E296" s="119">
        <v>1702.9407900000001</v>
      </c>
      <c r="F296" s="119">
        <v>951.14</v>
      </c>
      <c r="G296" s="119">
        <v>770.93372999999997</v>
      </c>
      <c r="H296" s="119">
        <v>754.61202000000003</v>
      </c>
      <c r="I296" s="119">
        <v>843.17</v>
      </c>
      <c r="J296" s="119">
        <v>1262.0970300000001</v>
      </c>
      <c r="K296" s="119">
        <v>1702.45</v>
      </c>
      <c r="L296" s="119">
        <v>858.37196999999992</v>
      </c>
      <c r="M296" s="119">
        <v>1070.42506</v>
      </c>
      <c r="N296" s="119">
        <v>754.76</v>
      </c>
      <c r="O296" s="119">
        <v>563.91099999999994</v>
      </c>
      <c r="P296" s="119">
        <v>135.01300000000001</v>
      </c>
      <c r="Q296" s="119">
        <v>287.25099999999998</v>
      </c>
      <c r="R296" s="119">
        <v>423.96199999999999</v>
      </c>
      <c r="S296" s="119">
        <v>423.96199999999999</v>
      </c>
      <c r="T296" s="118"/>
    </row>
    <row r="297" spans="1:20" ht="16.149999999999999" customHeight="1" thickBot="1">
      <c r="A297" s="130" t="s">
        <v>138</v>
      </c>
      <c r="B297" s="129">
        <f t="shared" ref="B297:M297" si="33">SUM(B295:B296)</f>
        <v>17729.849999999999</v>
      </c>
      <c r="C297" s="129">
        <f t="shared" si="33"/>
        <v>19632.006409999998</v>
      </c>
      <c r="D297" s="129">
        <f t="shared" si="33"/>
        <v>19003.629999999997</v>
      </c>
      <c r="E297" s="129">
        <f t="shared" si="33"/>
        <v>19272</v>
      </c>
      <c r="F297" s="129">
        <f t="shared" si="33"/>
        <v>17421.8</v>
      </c>
      <c r="G297" s="129">
        <f t="shared" si="33"/>
        <v>15925</v>
      </c>
      <c r="H297" s="129">
        <f t="shared" si="33"/>
        <v>16609</v>
      </c>
      <c r="I297" s="129">
        <f t="shared" si="33"/>
        <v>17400</v>
      </c>
      <c r="J297" s="129">
        <f t="shared" si="33"/>
        <v>23200</v>
      </c>
      <c r="K297" s="129">
        <f t="shared" si="33"/>
        <v>27400</v>
      </c>
      <c r="L297" s="129">
        <f t="shared" si="33"/>
        <v>28848</v>
      </c>
      <c r="M297" s="129">
        <f t="shared" si="33"/>
        <v>38589.549999999996</v>
      </c>
      <c r="N297" s="129">
        <f t="shared" ref="N297:S297" si="34">SUM(N295:N296)</f>
        <v>36590</v>
      </c>
      <c r="O297" s="129">
        <f t="shared" si="34"/>
        <v>35490</v>
      </c>
      <c r="P297" s="129">
        <f t="shared" si="34"/>
        <v>33490</v>
      </c>
      <c r="Q297" s="129">
        <f t="shared" si="34"/>
        <v>32171</v>
      </c>
      <c r="R297" s="129">
        <f t="shared" si="34"/>
        <v>31547.483769999999</v>
      </c>
      <c r="S297" s="129">
        <f t="shared" si="34"/>
        <v>31547.483769999999</v>
      </c>
    </row>
    <row r="298" spans="1:20" s="121" customFormat="1" ht="16.149999999999999" customHeight="1" thickBot="1">
      <c r="A298" s="128" t="s">
        <v>137</v>
      </c>
      <c r="B298" s="126">
        <f t="shared" ref="B298:S298" si="35">+B15+B23+B35+B42+B51+B56+B74+B78+B80+B85+B88+B104+B122+B139+B154+B165+B172+B177+B199+B219+B234+B246+B276+B285+B294+B297</f>
        <v>214287.71000000002</v>
      </c>
      <c r="C298" s="126">
        <f t="shared" si="35"/>
        <v>221324.23138000004</v>
      </c>
      <c r="D298" s="126">
        <f t="shared" si="35"/>
        <v>231472.34000000003</v>
      </c>
      <c r="E298" s="126">
        <f t="shared" si="35"/>
        <v>249636.01717000006</v>
      </c>
      <c r="F298" s="126">
        <f t="shared" si="35"/>
        <v>269832.24358999997</v>
      </c>
      <c r="G298" s="126">
        <f t="shared" si="35"/>
        <v>291191.16163000005</v>
      </c>
      <c r="H298" s="127">
        <f t="shared" si="35"/>
        <v>314522.97658999998</v>
      </c>
      <c r="I298" s="127">
        <f t="shared" si="35"/>
        <v>350212.67339000001</v>
      </c>
      <c r="J298" s="127">
        <f t="shared" si="35"/>
        <v>350695.86886999995</v>
      </c>
      <c r="K298" s="127">
        <f t="shared" si="35"/>
        <v>315992.11066999997</v>
      </c>
      <c r="L298" s="126">
        <f t="shared" si="35"/>
        <v>311776.70744000003</v>
      </c>
      <c r="M298" s="126">
        <f t="shared" si="35"/>
        <v>345445.69391000003</v>
      </c>
      <c r="N298" s="126">
        <f t="shared" si="35"/>
        <v>354626.10264</v>
      </c>
      <c r="O298" s="126">
        <f t="shared" si="35"/>
        <v>347843.34083000006</v>
      </c>
      <c r="P298" s="126">
        <f t="shared" si="35"/>
        <v>351856.29476000008</v>
      </c>
      <c r="Q298" s="126">
        <f t="shared" si="35"/>
        <v>355111.17920999986</v>
      </c>
      <c r="R298" s="126">
        <f t="shared" si="35"/>
        <v>368369.02785999997</v>
      </c>
      <c r="S298" s="126">
        <f t="shared" si="35"/>
        <v>368322.77035000001</v>
      </c>
    </row>
    <row r="299" spans="1:20" ht="16.149999999999999" customHeight="1">
      <c r="A299" s="164"/>
      <c r="B299" s="124"/>
      <c r="C299" s="119"/>
      <c r="D299" s="119"/>
      <c r="E299" s="119"/>
      <c r="F299" s="119"/>
      <c r="G299" s="119"/>
      <c r="H299" s="119"/>
      <c r="I299" s="119"/>
      <c r="J299" s="119"/>
      <c r="K299" s="118"/>
      <c r="L299" s="118"/>
      <c r="Q299" s="118"/>
      <c r="R299" s="118"/>
    </row>
    <row r="300" spans="1:20" ht="14.25">
      <c r="A300" s="164" t="s">
        <v>136</v>
      </c>
      <c r="B300" s="124"/>
      <c r="C300" s="119"/>
      <c r="D300" s="119"/>
      <c r="E300" s="119"/>
      <c r="F300" s="119"/>
      <c r="G300" s="119"/>
      <c r="H300" s="119"/>
      <c r="I300" s="119"/>
      <c r="J300" s="119"/>
      <c r="K300" s="118"/>
      <c r="L300" s="118"/>
      <c r="Q300" s="118"/>
      <c r="R300" s="118"/>
    </row>
    <row r="301" spans="1:20" ht="14.25">
      <c r="A301" s="165" t="s">
        <v>135</v>
      </c>
      <c r="B301" s="124"/>
      <c r="C301" s="119"/>
      <c r="D301" s="119"/>
      <c r="E301" s="119"/>
      <c r="F301" s="119"/>
      <c r="G301" s="119"/>
      <c r="H301" s="119"/>
      <c r="I301" s="119"/>
      <c r="J301" s="119"/>
      <c r="K301" s="118"/>
      <c r="L301" s="119">
        <v>7020.0334700000003</v>
      </c>
      <c r="Q301" s="118"/>
      <c r="R301" s="118"/>
    </row>
    <row r="302" spans="1:20" s="121" customFormat="1" ht="14.25">
      <c r="A302" s="166" t="s">
        <v>134</v>
      </c>
      <c r="B302" s="124"/>
      <c r="C302" s="119"/>
      <c r="D302" s="119"/>
      <c r="E302" s="119"/>
      <c r="F302" s="119"/>
      <c r="G302" s="119"/>
      <c r="H302" s="119"/>
      <c r="I302" s="119"/>
      <c r="J302" s="119"/>
      <c r="K302" s="118"/>
      <c r="L302" s="119">
        <f>104.21+15.2</f>
        <v>119.41</v>
      </c>
      <c r="M302" s="116"/>
      <c r="N302" s="116"/>
      <c r="O302" s="116"/>
      <c r="P302" s="116"/>
      <c r="Q302" s="118"/>
      <c r="R302" s="118"/>
    </row>
    <row r="303" spans="1:20" ht="15">
      <c r="A303" s="167" t="s">
        <v>133</v>
      </c>
      <c r="B303" s="125"/>
      <c r="C303" s="122"/>
      <c r="D303" s="122"/>
      <c r="E303" s="122"/>
      <c r="F303" s="122"/>
      <c r="G303" s="122"/>
      <c r="H303" s="122"/>
      <c r="I303" s="122"/>
      <c r="J303" s="122"/>
      <c r="K303" s="123"/>
      <c r="L303" s="122">
        <f>L301-L302</f>
        <v>6900.6234700000005</v>
      </c>
      <c r="M303" s="121"/>
      <c r="N303" s="121"/>
      <c r="O303" s="121"/>
      <c r="P303" s="121"/>
      <c r="Q303" s="118"/>
      <c r="R303" s="118"/>
    </row>
    <row r="304" spans="1:20" s="118" customFormat="1" ht="16.149999999999999" customHeight="1">
      <c r="A304" s="165"/>
      <c r="B304" s="124"/>
      <c r="C304" s="119"/>
      <c r="D304" s="119"/>
      <c r="E304" s="119"/>
      <c r="F304" s="119"/>
      <c r="G304" s="119"/>
      <c r="H304" s="119"/>
      <c r="I304" s="119"/>
      <c r="J304" s="119"/>
      <c r="L304" s="119"/>
      <c r="M304" s="116"/>
      <c r="N304" s="116"/>
      <c r="O304" s="116"/>
      <c r="P304" s="116"/>
    </row>
    <row r="305" spans="1:18" ht="14.25">
      <c r="A305" s="165" t="s">
        <v>132</v>
      </c>
      <c r="B305" s="124"/>
      <c r="C305" s="119"/>
      <c r="D305" s="119"/>
      <c r="E305" s="119"/>
      <c r="F305" s="119"/>
      <c r="G305" s="119"/>
      <c r="H305" s="119"/>
      <c r="I305" s="119"/>
      <c r="J305" s="119"/>
      <c r="K305" s="118"/>
      <c r="L305" s="119">
        <v>590.36301000000003</v>
      </c>
      <c r="Q305" s="118"/>
      <c r="R305" s="118"/>
    </row>
    <row r="306" spans="1:18" ht="14.25">
      <c r="A306" s="166" t="s">
        <v>131</v>
      </c>
      <c r="B306" s="124"/>
      <c r="C306" s="119"/>
      <c r="D306" s="119"/>
      <c r="E306" s="119"/>
      <c r="F306" s="119"/>
      <c r="G306" s="119"/>
      <c r="H306" s="119"/>
      <c r="I306" s="119"/>
      <c r="J306" s="119"/>
      <c r="K306" s="118"/>
      <c r="L306" s="119">
        <f>L302</f>
        <v>119.41</v>
      </c>
      <c r="Q306" s="118"/>
      <c r="R306" s="118"/>
    </row>
    <row r="307" spans="1:18" ht="10.5" customHeight="1">
      <c r="A307" s="167" t="s">
        <v>130</v>
      </c>
      <c r="B307" s="122"/>
      <c r="C307" s="122"/>
      <c r="D307" s="122"/>
      <c r="E307" s="122"/>
      <c r="F307" s="122"/>
      <c r="G307" s="122"/>
      <c r="H307" s="122"/>
      <c r="I307" s="122"/>
      <c r="J307" s="122"/>
      <c r="K307" s="123"/>
      <c r="L307" s="122">
        <f>SUM(L305:L306)</f>
        <v>709.77301</v>
      </c>
      <c r="M307" s="121"/>
      <c r="N307" s="121"/>
      <c r="O307" s="121"/>
      <c r="P307" s="121"/>
      <c r="Q307" s="118"/>
      <c r="R307" s="118"/>
    </row>
    <row r="308" spans="1:18" ht="14.25">
      <c r="A308" s="167"/>
      <c r="M308" s="118"/>
      <c r="N308" s="118"/>
      <c r="O308" s="118"/>
      <c r="P308" s="118"/>
      <c r="Q308" s="118"/>
      <c r="R308" s="118"/>
    </row>
    <row r="309" spans="1:18" ht="14.25">
      <c r="A309" s="160" t="s">
        <v>424</v>
      </c>
      <c r="B309" s="118"/>
      <c r="C309" s="119"/>
      <c r="D309" s="119"/>
      <c r="E309" s="119"/>
      <c r="F309" s="119"/>
      <c r="G309" s="119"/>
      <c r="H309" s="119"/>
      <c r="I309" s="119"/>
      <c r="J309" s="119"/>
      <c r="K309" s="118"/>
      <c r="L309" s="118"/>
      <c r="Q309" s="118"/>
      <c r="R309" s="118"/>
    </row>
    <row r="310" spans="1:18" ht="14.25">
      <c r="A310" s="120" t="s">
        <v>129</v>
      </c>
      <c r="Q310" s="118"/>
      <c r="R310" s="118"/>
    </row>
    <row r="311" spans="1:18" ht="14.25">
      <c r="A311" s="161" t="s">
        <v>128</v>
      </c>
      <c r="Q311" s="118"/>
      <c r="R311" s="118"/>
    </row>
    <row r="312" spans="1:18" ht="14.25">
      <c r="A312" s="161" t="s">
        <v>126</v>
      </c>
      <c r="Q312" s="118"/>
      <c r="R312" s="118"/>
    </row>
    <row r="313" spans="1:18" ht="14.25">
      <c r="A313" s="161" t="s">
        <v>127</v>
      </c>
      <c r="Q313" s="118"/>
      <c r="R313" s="118"/>
    </row>
    <row r="314" spans="1:18" ht="14.25">
      <c r="A314" s="161" t="s">
        <v>126</v>
      </c>
      <c r="Q314" s="118"/>
      <c r="R314" s="118"/>
    </row>
    <row r="315" spans="1:18" ht="14.25">
      <c r="Q315" s="118"/>
      <c r="R315" s="118"/>
    </row>
    <row r="316" spans="1:18" ht="14.25">
      <c r="Q316" s="118"/>
      <c r="R316" s="118"/>
    </row>
  </sheetData>
  <printOptions horizontalCentered="1"/>
  <pageMargins left="0.74803149606299213" right="0.74803149606299213" top="0.39370078740157483" bottom="0.39370078740157483" header="0" footer="0"/>
  <pageSetup paperSize="9" scale="89" fitToHeight="10" orientation="landscape" horizontalDpi="1200" verticalDpi="1200" r:id="rId1"/>
  <headerFooter alignWithMargins="0"/>
  <rowBreaks count="23" manualBreakCount="23">
    <brk id="15" max="16383" man="1"/>
    <brk id="23" max="16383" man="1"/>
    <brk id="35" max="16383" man="1"/>
    <brk id="41" max="16383" man="1"/>
    <brk id="50" max="16383" man="1"/>
    <brk id="55" max="16383" man="1"/>
    <brk id="72" max="16383" man="1"/>
    <brk id="76" max="16383" man="1"/>
    <brk id="78" max="16383" man="1"/>
    <brk id="83" max="16383" man="1"/>
    <brk id="86" max="16383" man="1"/>
    <brk id="101" max="16383" man="1"/>
    <brk id="135" max="16383" man="1"/>
    <brk id="147" max="16383" man="1"/>
    <brk id="158" max="16383" man="1"/>
    <brk id="165" max="16383" man="1"/>
    <brk id="170" max="16383" man="1"/>
    <brk id="191" max="16383" man="1"/>
    <brk id="211" max="16383" man="1"/>
    <brk id="224" max="16383" man="1"/>
    <brk id="262" max="16383" man="1"/>
    <brk id="271" max="16383" man="1"/>
    <brk id="28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5C423F3-1E63-40AC-B9E5-3828C56B7B8F}"/>
</file>

<file path=customXml/itemProps2.xml><?xml version="1.0" encoding="utf-8"?>
<ds:datastoreItem xmlns:ds="http://schemas.openxmlformats.org/officeDocument/2006/customXml" ds:itemID="{EE1F73B8-B75F-4004-AB2D-F9365324CEE3}"/>
</file>

<file path=customXml/itemProps3.xml><?xml version="1.0" encoding="utf-8"?>
<ds:datastoreItem xmlns:ds="http://schemas.openxmlformats.org/officeDocument/2006/customXml" ds:itemID="{B9FF6C3B-B6BA-463D-8ED3-5639B28764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Estadística</vt:lpstr>
      <vt:lpstr>11</vt:lpstr>
      <vt:lpstr>12.1</vt:lpstr>
      <vt:lpstr>12.2</vt:lpstr>
      <vt:lpstr>12.3</vt:lpstr>
      <vt:lpstr>13</vt:lpstr>
      <vt:lpstr>141</vt:lpstr>
      <vt:lpstr>15</vt:lpstr>
      <vt:lpstr>16</vt:lpstr>
      <vt:lpstr>'11'!Área_de_impresión</vt:lpstr>
      <vt:lpstr>'12.1'!Área_de_impresión</vt:lpstr>
      <vt:lpstr>'12.2'!Área_de_impresión</vt:lpstr>
      <vt:lpstr>'12.3'!Área_de_impresión</vt:lpstr>
      <vt:lpstr>'13'!Área_de_impresión</vt:lpstr>
      <vt:lpstr>'141'!Área_de_impresión</vt:lpstr>
      <vt:lpstr>'15'!Área_de_impresión</vt:lpstr>
      <vt:lpstr>'16'!Área_de_impresión</vt:lpstr>
      <vt:lpstr>Estadística!Área_de_impresión</vt:lpstr>
      <vt:lpstr>'16'!Títulos_a_imprimir</vt:lpstr>
    </vt:vector>
  </TitlesOfParts>
  <Company>IGAE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Presupuestos Generales del Estado Consolidados</dc:title>
  <dc:creator>SG de Política Presupuestaria</dc:creator>
  <cp:lastModifiedBy>Pinazo Peral, Manuel</cp:lastModifiedBy>
  <cp:lastPrinted>2017-07-18T07:32:59Z</cp:lastPrinted>
  <dcterms:created xsi:type="dcterms:W3CDTF">2003-06-18T15:58:15Z</dcterms:created>
  <dcterms:modified xsi:type="dcterms:W3CDTF">2019-02-22T11:59:14Z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tegorizacion">
    <vt:lpwstr>7;#Estadísticas|2d9c5225-53f9-474e-befa-c85da6d8b299</vt:lpwstr>
  </property>
  <property fmtid="{D5CDD505-2E9C-101B-9397-08002B2CF9AE}" pid="3" name="ContentTypeId">
    <vt:lpwstr>0x010100D36617A13DB0DF45BE15055EE67E0793</vt:lpwstr>
  </property>
  <property fmtid="{D5CDD505-2E9C-101B-9397-08002B2CF9AE}" pid="4" name="Order">
    <vt:r8>20300</vt:r8>
  </property>
</Properties>
</file>